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ta" sheetId="2" state="visible" r:id="rId4"/>
    <sheet name="Product P&amp;L" sheetId="3" state="visible" r:id="rId5"/>
    <sheet name="Pareto" sheetId="4" state="visible" r:id="rId6"/>
    <sheet name="Segment Analysis" sheetId="5" state="visible" r:id="rId7"/>
    <sheet name="Scenario" sheetId="6" state="visible" r:id="rId8"/>
  </sheets>
  <definedNames>
    <definedName function="false" hidden="true" localSheetId="1" name="_xlnm._FilterDatabase" vbProcedure="false">Data!$A$1:$E$38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<sst xmlns="http://schemas.openxmlformats.org/spreadsheetml/2006/main" count="297" uniqueCount="130">
  <si>
    <t xml:space="preserve">PRODUCT PROFITABILITY &amp; CONCENTRATION ANALYSIS</t>
  </si>
  <si>
    <t xml:space="preserve">Digital asset exchange · June 2026 · 36 products across two segments</t>
  </si>
  <si>
    <t xml:space="preserve">PURPOSE</t>
  </si>
  <si>
    <t xml:space="preserve">Establish which products actually earn the margin, quantify concentration risk, and model the profit</t>
  </si>
  <si>
    <t xml:space="preserve">impact if the dominant product line were disrupted.</t>
  </si>
  <si>
    <t xml:space="preserve">HEADLINE FINDINGS</t>
  </si>
  <si>
    <t xml:space="preserve">Gift cards earn a 2.774% spread against 0.728% on crypto — 3.8 times the margin on a smaller ticket.</t>
  </si>
  <si>
    <t xml:space="preserve">Crypto carries 52% of gross volume and returns 22% of profit.</t>
  </si>
  <si>
    <t xml:space="preserve">One product, Apple, accounts for 62.9% of total profit. Apple and Bitcoin together are 81%.</t>
  </si>
  <si>
    <t xml:space="preserve">This is single-product dependency at a level that warrants board attention.</t>
  </si>
  <si>
    <t xml:space="preserve">SHEETS</t>
  </si>
  <si>
    <t xml:space="preserve">Product P&amp;L        every product ranked by profit, with margin and share</t>
  </si>
  <si>
    <t xml:space="preserve">Pareto             cumulative concentration curve and the 80% threshold</t>
  </si>
  <si>
    <t xml:space="preserve">Segment Analysis   crypto against gift card on volume, margin and ticket size</t>
  </si>
  <si>
    <t xml:space="preserve">Scenario           profit impact of a 20%, 40% or total loss of Apple volume</t>
  </si>
  <si>
    <t xml:space="preserve">METHOD</t>
  </si>
  <si>
    <t xml:space="preserve">Products normalised from 41 raw labels to 36 by trimming and case folding. Classified crypto against gift</t>
  </si>
  <si>
    <t xml:space="preserve">card on asset code rather than name. All aggregation by live SUMIFS against the transaction data.</t>
  </si>
  <si>
    <t xml:space="preserve">Prepared by</t>
  </si>
  <si>
    <t xml:space="preserve">Ifedayo Peter Oluwaseun · Accountant &amp; Financial Analyst</t>
  </si>
  <si>
    <t xml:space="preserve">Source</t>
  </si>
  <si>
    <t xml:space="preserve">Anonymised transaction extract, June 2026 — demonstration project.</t>
  </si>
  <si>
    <t xml:space="preserve">Convention</t>
  </si>
  <si>
    <t xml:space="preserve">Blue text = input or assumption · Black = formula · Yellow fill = review</t>
  </si>
  <si>
    <t xml:space="preserve">Note</t>
  </si>
  <si>
    <t xml:space="preserve">Demonstration project on an anonymised extract. Scenario outcomes are modelled, not forecast.</t>
  </si>
  <si>
    <t xml:space="preserve">DATA PROTECTION</t>
  </si>
  <si>
    <t xml:space="preserve">Customer, representative and payout-account identifiers have been replaced with surrogate codes</t>
  </si>
  <si>
    <t xml:space="preserve">assigned in random order, so they carry no information about the originals. Blockchain settlement</t>
  </si>
  <si>
    <t xml:space="preserve">references are redacted entirely. The source organisation is not named anywhere in this workbook.</t>
  </si>
  <si>
    <t xml:space="preserve">Monetary values, dates, products, counts and every derived metric are UNCHANGED. The analysis and</t>
  </si>
  <si>
    <t xml:space="preserve">all findings are real; only the identifiers are surrogate.</t>
  </si>
  <si>
    <t xml:space="preserve">Product</t>
  </si>
  <si>
    <t xml:space="preserve">Class</t>
  </si>
  <si>
    <t xml:space="preserve">Transactions</t>
  </si>
  <si>
    <t xml:space="preserve">Gross Volume</t>
  </si>
  <si>
    <t xml:space="preserve">Gross Profit</t>
  </si>
  <si>
    <t xml:space="preserve">APPLE</t>
  </si>
  <si>
    <t xml:space="preserve">Gift Card</t>
  </si>
  <si>
    <t xml:space="preserve">BITCOIN</t>
  </si>
  <si>
    <t xml:space="preserve">Crypto</t>
  </si>
  <si>
    <t xml:space="preserve">RAZERGOLD</t>
  </si>
  <si>
    <t xml:space="preserve">STEAM</t>
  </si>
  <si>
    <t xml:space="preserve">SEPHORA</t>
  </si>
  <si>
    <t xml:space="preserve">USDT</t>
  </si>
  <si>
    <t xml:space="preserve">TRON</t>
  </si>
  <si>
    <t xml:space="preserve">ETH</t>
  </si>
  <si>
    <t xml:space="preserve">SOLANA</t>
  </si>
  <si>
    <t xml:space="preserve">XBOX</t>
  </si>
  <si>
    <t xml:space="preserve">BEP</t>
  </si>
  <si>
    <t xml:space="preserve">FOOTLOCKER</t>
  </si>
  <si>
    <t xml:space="preserve">AMAZON</t>
  </si>
  <si>
    <t xml:space="preserve">BNB</t>
  </si>
  <si>
    <t xml:space="preserve">MACY</t>
  </si>
  <si>
    <t xml:space="preserve">GOOGLEPLAY</t>
  </si>
  <si>
    <t xml:space="preserve">TARGET</t>
  </si>
  <si>
    <t xml:space="preserve">NORDSTORM</t>
  </si>
  <si>
    <t xml:space="preserve">GREEN RAZER</t>
  </si>
  <si>
    <t xml:space="preserve">BSC</t>
  </si>
  <si>
    <t xml:space="preserve">NIKE</t>
  </si>
  <si>
    <t xml:space="preserve">VANILLA</t>
  </si>
  <si>
    <t xml:space="preserve">VISA</t>
  </si>
  <si>
    <t xml:space="preserve">UNCLASSIFIED</t>
  </si>
  <si>
    <t xml:space="preserve">ITUNES</t>
  </si>
  <si>
    <t xml:space="preserve">USA</t>
  </si>
  <si>
    <t xml:space="preserve">USDC</t>
  </si>
  <si>
    <t xml:space="preserve">PLAYSTATION</t>
  </si>
  <si>
    <t xml:space="preserve">WALMART</t>
  </si>
  <si>
    <t xml:space="preserve">EBAY</t>
  </si>
  <si>
    <t xml:space="preserve">MASTERCARD</t>
  </si>
  <si>
    <t xml:space="preserve">TRC20</t>
  </si>
  <si>
    <t xml:space="preserve">DEBIT</t>
  </si>
  <si>
    <t xml:space="preserve">ROBLOX</t>
  </si>
  <si>
    <t xml:space="preserve">PRODUCT PROFIT &amp; LOSS</t>
  </si>
  <si>
    <t xml:space="preserve">All products ranked by gross profit contribution</t>
  </si>
  <si>
    <t xml:space="preserve">Rank</t>
  </si>
  <si>
    <t xml:space="preserve">Margin</t>
  </si>
  <si>
    <t xml:space="preserve">Avg Ticket</t>
  </si>
  <si>
    <t xml:space="preserve">Profit / Trade</t>
  </si>
  <si>
    <t xml:space="preserve">% of Profit</t>
  </si>
  <si>
    <t xml:space="preserve">Total</t>
  </si>
  <si>
    <t xml:space="preserve">CONCENTRATION — PARETO ANALYSIS</t>
  </si>
  <si>
    <t xml:space="preserve">How few products carry the profit</t>
  </si>
  <si>
    <t xml:space="preserve">Cumulative %</t>
  </si>
  <si>
    <t xml:space="preserve">Within 80%?</t>
  </si>
  <si>
    <t xml:space="preserve">Products required to reach 80% of profit</t>
  </si>
  <si>
    <t xml:space="preserve">Total products</t>
  </si>
  <si>
    <t xml:space="preserve">Share of the product range</t>
  </si>
  <si>
    <t xml:space="preserve">Interpretation</t>
  </si>
  <si>
    <t xml:space="preserve">A very small number of products carry the overwhelming majority of profit. This is more concentrated</t>
  </si>
  <si>
    <t xml:space="preserve">than a classic 80/20 distribution. The commercial implication is that margin resilience depends on</t>
  </si>
  <si>
    <t xml:space="preserve">a handful of supplier and card-type relationships, any one of which failing would be material.</t>
  </si>
  <si>
    <t xml:space="preserve">SEGMENT ANALYSIS</t>
  </si>
  <si>
    <t xml:space="preserve">Crypto against gift cards — where volume goes and where margin comes from</t>
  </si>
  <si>
    <t xml:space="preserve">Segment</t>
  </si>
  <si>
    <t xml:space="preserve">Products</t>
  </si>
  <si>
    <t xml:space="preserve">% of Volume</t>
  </si>
  <si>
    <t xml:space="preserve">Margin multiple — gift card against crypto</t>
  </si>
  <si>
    <t xml:space="preserve">COMMERCIAL IMPLICATION</t>
  </si>
  <si>
    <t xml:space="preserve">Crypto absorbs slightly more than half of gross volume and returns roughly a fifth of profit. Every naira</t>
  </si>
  <si>
    <t xml:space="preserve">of crypto volume carries settlement, counterparty and price risk, and earns a fraction of the gift card</t>
  </si>
  <si>
    <t xml:space="preserve">spread. Growth measured on volume will therefore look healthy while profit stagnates.</t>
  </si>
  <si>
    <t xml:space="preserve">Recommendation: manage the business on margin mix, not gross volume. Reprice thin crypto flow, or cap it,</t>
  </si>
  <si>
    <t xml:space="preserve">and put commercial effort behind the gift card book where the spread is four times better.</t>
  </si>
  <si>
    <t xml:space="preserve">SCENARIO — LOSS OF THE DOMINANT PRODUCT LINE</t>
  </si>
  <si>
    <t xml:space="preserve">Modelled profit impact if Apple volume were disrupted</t>
  </si>
  <si>
    <t xml:space="preserve">ASSUMPTIONS (blue = input)</t>
  </si>
  <si>
    <t xml:space="preserve">Apple gross profit, June 2026</t>
  </si>
  <si>
    <t xml:space="preserve">Total gross profit, June 2026</t>
  </si>
  <si>
    <t xml:space="preserve">Apple share of profit</t>
  </si>
  <si>
    <t xml:space="preserve">Assumed substitution rate</t>
  </si>
  <si>
    <t xml:space="preserve">Margin on substituted volume</t>
  </si>
  <si>
    <t xml:space="preserve">Substitution rate = the share of lost Apple demand assumed to move to other gift cards.</t>
  </si>
  <si>
    <t xml:space="preserve">Scenario</t>
  </si>
  <si>
    <t xml:space="preserve">Apple Volume Lost</t>
  </si>
  <si>
    <t xml:space="preserve">Profit Lost</t>
  </si>
  <si>
    <t xml:space="preserve">Profit Recovered by Substitution</t>
  </si>
  <si>
    <t xml:space="preserve">Net Profit Impact</t>
  </si>
  <si>
    <t xml:space="preserve">Revised Total Profit</t>
  </si>
  <si>
    <t xml:space="preserve">% Change</t>
  </si>
  <si>
    <t xml:space="preserve">Base case — no disruption</t>
  </si>
  <si>
    <t xml:space="preserve">Apple volume down 20%</t>
  </si>
  <si>
    <t xml:space="preserve">Apple volume down 40%</t>
  </si>
  <si>
    <t xml:space="preserve">Apple line lost entirely</t>
  </si>
  <si>
    <t xml:space="preserve">READ-ACROSS</t>
  </si>
  <si>
    <t xml:space="preserve">Even on a generous substitution assumption, losing the Apple line removes close to half of monthly profit.</t>
  </si>
  <si>
    <t xml:space="preserve">No other single product is large enough to absorb it — the second largest product earns under a third of</t>
  </si>
  <si>
    <t xml:space="preserve">Apple's contribution, and at a far thinner spread in the case of Bitcoin.</t>
  </si>
  <si>
    <t xml:space="preserve">Recommendation: treat Apple supply as a key business risk with a named owner. Build the second and third</t>
  </si>
  <si>
    <t xml:space="preserve">gift card lines deliberately rather than opportunistically, and review supplier terms before renewal.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</si>
</sst>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\(#,##0\);\-"/>
    <numFmt numFmtId="166" formatCode="#,##0.00;\(#,##0.00\);\-"/>
    <numFmt numFmtId="167" formatCode="0.000%;\(0.000%\);\-"/>
    <numFmt numFmtId="168" formatCode="0.00%;\(0.00%\);\-"/>
    <numFmt numFmtId="169" formatCode="0.00\x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sz val="11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9"/>
      <color rgb="FF595959"/>
      <name val="Arial"/>
      <family val="0"/>
      <charset val="1"/>
    </font>
    <font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1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5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5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8" fontId="1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1F386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4F81BD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Gross profit by product (NGN)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'Product P&amp;L'!G4</c:f>
              <c:strCache>
                <c:ptCount val="1"/>
                <c:pt idx="0">
                  <c:v>Gross Profit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'Product P&amp;L'!$C$5:$C$16</c:f>
              <c:strCache>
                <c:ptCount val="12"/>
                <c:pt idx="0">
                  <c:v>APPLE</c:v>
                </c:pt>
                <c:pt idx="1">
                  <c:v>BITCOIN</c:v>
                </c:pt>
                <c:pt idx="2">
                  <c:v>RAZERGOLD</c:v>
                </c:pt>
                <c:pt idx="3">
                  <c:v>STEAM</c:v>
                </c:pt>
                <c:pt idx="4">
                  <c:v>SEPHORA</c:v>
                </c:pt>
                <c:pt idx="5">
                  <c:v>USDT</c:v>
                </c:pt>
                <c:pt idx="6">
                  <c:v>TRON</c:v>
                </c:pt>
                <c:pt idx="7">
                  <c:v>ETH</c:v>
                </c:pt>
                <c:pt idx="8">
                  <c:v>SOLANA</c:v>
                </c:pt>
                <c:pt idx="9">
                  <c:v>XBOX</c:v>
                </c:pt>
                <c:pt idx="10">
                  <c:v>BEP</c:v>
                </c:pt>
                <c:pt idx="11">
                  <c:v>FOOTLOCKER</c:v>
                </c:pt>
              </c:strCache>
            </c:strRef>
          </c:cat>
          <c:val>
            <c:numRef>
              <c:f>'Product P&amp;L'!$G$5:$G$16</c:f>
              <c:numCache>
                <c:formatCode>#,##0;\(#,##0\);\-</c:formatCode>
                <c:ptCount val="12"/>
                <c:pt idx="0">
                  <c:v>38268370.72</c:v>
                </c:pt>
                <c:pt idx="1">
                  <c:v>11223529.81</c:v>
                </c:pt>
                <c:pt idx="2">
                  <c:v>4736020.65</c:v>
                </c:pt>
                <c:pt idx="3">
                  <c:v>2059352.48</c:v>
                </c:pt>
                <c:pt idx="4">
                  <c:v>733525</c:v>
                </c:pt>
                <c:pt idx="5">
                  <c:v>558463.019899999</c:v>
                </c:pt>
                <c:pt idx="6">
                  <c:v>529589.34</c:v>
                </c:pt>
                <c:pt idx="7">
                  <c:v>426915.05</c:v>
                </c:pt>
                <c:pt idx="8">
                  <c:v>336285.14</c:v>
                </c:pt>
                <c:pt idx="9">
                  <c:v>281345</c:v>
                </c:pt>
                <c:pt idx="10">
                  <c:v>226563.57</c:v>
                </c:pt>
                <c:pt idx="11">
                  <c:v>193930</c:v>
                </c:pt>
              </c:numCache>
            </c:numRef>
          </c:val>
        </c:ser>
        <c:gapWidth val="150"/>
        <c:overlap val="0"/>
        <c:axId val="50781380"/>
        <c:axId val="64345968"/>
      </c:barChart>
      <c:catAx>
        <c:axId val="507813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345968"/>
        <c:crosses val="autoZero"/>
        <c:auto val="1"/>
        <c:lblAlgn val="ctr"/>
        <c:lblOffset val="100"/>
        <c:noMultiLvlLbl val="0"/>
      </c:catAx>
      <c:valAx>
        <c:axId val="6434596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078138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Cumulative profit concentration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Pareto!F4</c:f>
              <c:strCache>
                <c:ptCount val="1"/>
                <c:pt idx="0">
                  <c:v>Cumulative %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Pareto!$C$5:$C$41</c:f>
              <c:strCache>
                <c:ptCount val="37"/>
                <c:pt idx="0">
                  <c:v>APPLE</c:v>
                </c:pt>
                <c:pt idx="1">
                  <c:v>BITCOIN</c:v>
                </c:pt>
                <c:pt idx="2">
                  <c:v>RAZERGOLD</c:v>
                </c:pt>
                <c:pt idx="3">
                  <c:v>STEAM</c:v>
                </c:pt>
                <c:pt idx="4">
                  <c:v>SEPHORA</c:v>
                </c:pt>
                <c:pt idx="5">
                  <c:v>USDT</c:v>
                </c:pt>
                <c:pt idx="6">
                  <c:v>TRON</c:v>
                </c:pt>
                <c:pt idx="7">
                  <c:v>ETH</c:v>
                </c:pt>
                <c:pt idx="8">
                  <c:v>SOLANA</c:v>
                </c:pt>
                <c:pt idx="9">
                  <c:v>XBOX</c:v>
                </c:pt>
                <c:pt idx="10">
                  <c:v>BEP</c:v>
                </c:pt>
                <c:pt idx="11">
                  <c:v>FOOTLOCKER</c:v>
                </c:pt>
                <c:pt idx="12">
                  <c:v>AMAZON</c:v>
                </c:pt>
                <c:pt idx="13">
                  <c:v>BNB</c:v>
                </c:pt>
                <c:pt idx="14">
                  <c:v>MACY</c:v>
                </c:pt>
                <c:pt idx="15">
                  <c:v>GOOGLEPLAY</c:v>
                </c:pt>
                <c:pt idx="16">
                  <c:v>TARGET</c:v>
                </c:pt>
                <c:pt idx="17">
                  <c:v>NORDSTORM</c:v>
                </c:pt>
                <c:pt idx="18">
                  <c:v>GREEN RAZER</c:v>
                </c:pt>
                <c:pt idx="19">
                  <c:v>BSC</c:v>
                </c:pt>
                <c:pt idx="20">
                  <c:v>NIKE</c:v>
                </c:pt>
                <c:pt idx="21">
                  <c:v>VANILLA</c:v>
                </c:pt>
                <c:pt idx="22">
                  <c:v>VISA</c:v>
                </c:pt>
                <c:pt idx="23">
                  <c:v>UNCLASSIFIED</c:v>
                </c:pt>
                <c:pt idx="24">
                  <c:v>ITUNES</c:v>
                </c:pt>
                <c:pt idx="25">
                  <c:v>USA</c:v>
                </c:pt>
                <c:pt idx="26">
                  <c:v>USDC</c:v>
                </c:pt>
                <c:pt idx="27">
                  <c:v>PLAYSTATION</c:v>
                </c:pt>
                <c:pt idx="28">
                  <c:v>WALMART</c:v>
                </c:pt>
                <c:pt idx="29">
                  <c:v>EBAY</c:v>
                </c:pt>
                <c:pt idx="30">
                  <c:v>MASTERCARD</c:v>
                </c:pt>
                <c:pt idx="31">
                  <c:v>TRC20</c:v>
                </c:pt>
                <c:pt idx="32">
                  <c:v>DEBIT</c:v>
                </c:pt>
                <c:pt idx="33">
                  <c:v>TRON</c:v>
                </c:pt>
                <c:pt idx="34">
                  <c:v>UNCLASSIFIED</c:v>
                </c:pt>
                <c:pt idx="35">
                  <c:v>ROBLOX</c:v>
                </c:pt>
                <c:pt idx="36">
                  <c:v>VISA</c:v>
                </c:pt>
              </c:strCache>
            </c:strRef>
          </c:cat>
          <c:val>
            <c:numRef>
              <c:f>Pareto!$F$5:$F$41</c:f>
              <c:numCache>
                <c:formatCode>0.00%;\(0.00%\);\-</c:formatCode>
                <c:ptCount val="37"/>
                <c:pt idx="0">
                  <c:v>0.628459066230571</c:v>
                </c:pt>
                <c:pt idx="1">
                  <c:v>0.81277653079713</c:v>
                </c:pt>
                <c:pt idx="2">
                  <c:v>0.890553427470502</c:v>
                </c:pt>
                <c:pt idx="3">
                  <c:v>0.92437296857639</c:v>
                </c:pt>
                <c:pt idx="4">
                  <c:v>0.93641922055638</c:v>
                </c:pt>
                <c:pt idx="5">
                  <c:v>0.945590532044361</c:v>
                </c:pt>
                <c:pt idx="6">
                  <c:v>0.954287667977773</c:v>
                </c:pt>
                <c:pt idx="7">
                  <c:v>0.96129864410858</c:v>
                </c:pt>
                <c:pt idx="8">
                  <c:v>0.966821258243839</c:v>
                </c:pt>
                <c:pt idx="9">
                  <c:v>0.971441622598579</c:v>
                </c:pt>
                <c:pt idx="10">
                  <c:v>0.975162343574286</c:v>
                </c:pt>
                <c:pt idx="11">
                  <c:v>0.978347142519761</c:v>
                </c:pt>
                <c:pt idx="12">
                  <c:v>0.981094448329014</c:v>
                </c:pt>
                <c:pt idx="13">
                  <c:v>0.983818933550351</c:v>
                </c:pt>
                <c:pt idx="14">
                  <c:v>0.98648609797429</c:v>
                </c:pt>
                <c:pt idx="15">
                  <c:v>0.989121074464784</c:v>
                </c:pt>
                <c:pt idx="16">
                  <c:v>0.991744128281971</c:v>
                </c:pt>
                <c:pt idx="17">
                  <c:v>0.99356619522881</c:v>
                </c:pt>
                <c:pt idx="18">
                  <c:v>0.994846322479878</c:v>
                </c:pt>
                <c:pt idx="19">
                  <c:v>0.995869646515158</c:v>
                </c:pt>
                <c:pt idx="20">
                  <c:v>0.996854170295807</c:v>
                </c:pt>
                <c:pt idx="21">
                  <c:v>0.997628979836607</c:v>
                </c:pt>
                <c:pt idx="22">
                  <c:v>0.998365935710779</c:v>
                </c:pt>
                <c:pt idx="23">
                  <c:v>0.998793444018667</c:v>
                </c:pt>
                <c:pt idx="24">
                  <c:v>0.999155147709556</c:v>
                </c:pt>
                <c:pt idx="25">
                  <c:v>0.999401483934906</c:v>
                </c:pt>
                <c:pt idx="26">
                  <c:v>0.999557321486235</c:v>
                </c:pt>
                <c:pt idx="27">
                  <c:v>0.999655855976375</c:v>
                </c:pt>
                <c:pt idx="28">
                  <c:v>0.999754390466515</c:v>
                </c:pt>
                <c:pt idx="29">
                  <c:v>0.999840197585012</c:v>
                </c:pt>
                <c:pt idx="30">
                  <c:v>0.999901371080973</c:v>
                </c:pt>
                <c:pt idx="31">
                  <c:v>0.99995073275493</c:v>
                </c:pt>
                <c:pt idx="32">
                  <c:v>1</c:v>
                </c:pt>
                <c:pt idx="33">
                  <c:v>1.00869713593341</c:v>
                </c:pt>
                <c:pt idx="34">
                  <c:v>1.0091246442413</c:v>
                </c:pt>
                <c:pt idx="35">
                  <c:v>1.0091246442413</c:v>
                </c:pt>
                <c:pt idx="36">
                  <c:v>1.00986160011547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57704758"/>
        <c:axId val="87187496"/>
      </c:lineChart>
      <c:catAx>
        <c:axId val="5770475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7187496"/>
        <c:crosses val="autoZero"/>
        <c:auto val="1"/>
        <c:lblAlgn val="ctr"/>
        <c:lblOffset val="100"/>
        <c:noMultiLvlLbl val="0"/>
      </c:catAx>
      <c:valAx>
        <c:axId val="8718749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0%;\(0.00%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770475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0</xdr:colOff>
      <xdr:row>3</xdr:row>
      <xdr:rowOff>131040</xdr:rowOff>
    </xdr:from>
    <xdr:to>
      <xdr:col>22</xdr:col>
      <xdr:colOff>364680</xdr:colOff>
      <xdr:row>24</xdr:row>
      <xdr:rowOff>90000</xdr:rowOff>
    </xdr:to>
    <xdr:graphicFrame>
      <xdr:nvGraphicFramePr>
        <xdr:cNvPr id="0" name="Chart 1"/>
        <xdr:cNvGraphicFramePr/>
      </xdr:nvGraphicFramePr>
      <xdr:xfrm>
        <a:off x="10620360" y="762120"/>
        <a:ext cx="647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3</xdr:row>
      <xdr:rowOff>131040</xdr:rowOff>
    </xdr:from>
    <xdr:to>
      <xdr:col>19</xdr:col>
      <xdr:colOff>473040</xdr:colOff>
      <xdr:row>22</xdr:row>
      <xdr:rowOff>111240</xdr:rowOff>
    </xdr:to>
    <xdr:graphicFrame>
      <xdr:nvGraphicFramePr>
        <xdr:cNvPr id="1" name="Chart 1"/>
        <xdr:cNvGraphicFramePr/>
      </xdr:nvGraphicFramePr>
      <xdr:xfrm>
        <a:off x="6814080" y="762120"/>
        <a:ext cx="719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9" min="2" style="0" width="14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true" outlineLevel="0" collapsed="false">
      <c r="A5" s="4" t="s">
        <v>3</v>
      </c>
      <c r="B5" s="4"/>
      <c r="C5" s="4"/>
      <c r="D5" s="4"/>
      <c r="E5" s="4"/>
      <c r="F5" s="4"/>
      <c r="G5" s="4"/>
      <c r="H5" s="4"/>
      <c r="I5" s="4"/>
    </row>
    <row r="6" customFormat="false" ht="15" hidden="false" customHeight="true" outlineLevel="0" collapsed="false">
      <c r="A6" s="4" t="s">
        <v>4</v>
      </c>
      <c r="B6" s="4"/>
      <c r="C6" s="4"/>
      <c r="D6" s="4"/>
      <c r="E6" s="4"/>
      <c r="F6" s="4"/>
      <c r="G6" s="4"/>
      <c r="H6" s="4"/>
      <c r="I6" s="4"/>
    </row>
    <row r="8" customFormat="false" ht="15" hidden="false" customHeight="false" outlineLevel="0" collapsed="false">
      <c r="A8" s="3" t="s">
        <v>5</v>
      </c>
    </row>
    <row r="9" customFormat="false" ht="15" hidden="false" customHeight="true" outlineLevel="0" collapsed="false">
      <c r="A9" s="4" t="s">
        <v>6</v>
      </c>
      <c r="B9" s="4"/>
      <c r="C9" s="4"/>
      <c r="D9" s="4"/>
      <c r="E9" s="4"/>
      <c r="F9" s="4"/>
      <c r="G9" s="4"/>
      <c r="H9" s="4"/>
      <c r="I9" s="4"/>
    </row>
    <row r="10" customFormat="false" ht="15" hidden="false" customHeight="true" outlineLevel="0" collapsed="false">
      <c r="A10" s="4" t="s">
        <v>7</v>
      </c>
      <c r="B10" s="4"/>
      <c r="C10" s="4"/>
      <c r="D10" s="4"/>
      <c r="E10" s="4"/>
      <c r="F10" s="4"/>
      <c r="G10" s="4"/>
      <c r="H10" s="4"/>
      <c r="I10" s="4"/>
    </row>
    <row r="11" customFormat="false" ht="15" hidden="false" customHeight="true" outlineLevel="0" collapsed="false">
      <c r="A11" s="4" t="s">
        <v>8</v>
      </c>
      <c r="B11" s="4"/>
      <c r="C11" s="4"/>
      <c r="D11" s="4"/>
      <c r="E11" s="4"/>
      <c r="F11" s="4"/>
      <c r="G11" s="4"/>
      <c r="H11" s="4"/>
      <c r="I11" s="4"/>
    </row>
    <row r="12" customFormat="false" ht="15" hidden="false" customHeight="true" outlineLevel="0" collapsed="false">
      <c r="A12" s="4" t="s">
        <v>9</v>
      </c>
      <c r="B12" s="4"/>
      <c r="C12" s="4"/>
      <c r="D12" s="4"/>
      <c r="E12" s="4"/>
      <c r="F12" s="4"/>
      <c r="G12" s="4"/>
      <c r="H12" s="4"/>
      <c r="I12" s="4"/>
    </row>
    <row r="14" customFormat="false" ht="15" hidden="false" customHeight="false" outlineLevel="0" collapsed="false">
      <c r="A14" s="3" t="s">
        <v>10</v>
      </c>
    </row>
    <row r="15" customFormat="false" ht="15" hidden="false" customHeight="true" outlineLevel="0" collapsed="false">
      <c r="A15" s="4" t="s">
        <v>11</v>
      </c>
      <c r="B15" s="4"/>
      <c r="C15" s="4"/>
      <c r="D15" s="4"/>
      <c r="E15" s="4"/>
      <c r="F15" s="4"/>
      <c r="G15" s="4"/>
      <c r="H15" s="4"/>
      <c r="I15" s="4"/>
    </row>
    <row r="16" customFormat="false" ht="15" hidden="false" customHeight="true" outlineLevel="0" collapsed="false">
      <c r="A16" s="4" t="s">
        <v>12</v>
      </c>
      <c r="B16" s="4"/>
      <c r="C16" s="4"/>
      <c r="D16" s="4"/>
      <c r="E16" s="4"/>
      <c r="F16" s="4"/>
      <c r="G16" s="4"/>
      <c r="H16" s="4"/>
      <c r="I16" s="4"/>
    </row>
    <row r="17" customFormat="false" ht="15" hidden="false" customHeight="true" outlineLevel="0" collapsed="false">
      <c r="A17" s="4" t="s">
        <v>13</v>
      </c>
      <c r="B17" s="4"/>
      <c r="C17" s="4"/>
      <c r="D17" s="4"/>
      <c r="E17" s="4"/>
      <c r="F17" s="4"/>
      <c r="G17" s="4"/>
      <c r="H17" s="4"/>
      <c r="I17" s="4"/>
    </row>
    <row r="18" customFormat="false" ht="15" hidden="false" customHeight="true" outlineLevel="0" collapsed="false">
      <c r="A18" s="4" t="s">
        <v>14</v>
      </c>
      <c r="B18" s="4"/>
      <c r="C18" s="4"/>
      <c r="D18" s="4"/>
      <c r="E18" s="4"/>
      <c r="F18" s="4"/>
      <c r="G18" s="4"/>
      <c r="H18" s="4"/>
      <c r="I18" s="4"/>
    </row>
    <row r="20" customFormat="false" ht="15" hidden="false" customHeight="false" outlineLevel="0" collapsed="false">
      <c r="A20" s="3" t="s">
        <v>15</v>
      </c>
    </row>
    <row r="21" customFormat="false" ht="15" hidden="false" customHeight="true" outlineLevel="0" collapsed="false">
      <c r="A21" s="4" t="s">
        <v>16</v>
      </c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4" t="s">
        <v>17</v>
      </c>
      <c r="B22" s="4"/>
      <c r="C22" s="4"/>
      <c r="D22" s="4"/>
      <c r="E22" s="4"/>
      <c r="F22" s="4"/>
      <c r="G22" s="4"/>
      <c r="H22" s="4"/>
      <c r="I22" s="4"/>
    </row>
    <row r="25" customFormat="false" ht="15" hidden="false" customHeight="false" outlineLevel="0" collapsed="false">
      <c r="A25" s="5" t="s">
        <v>18</v>
      </c>
      <c r="B25" s="6" t="s">
        <v>19</v>
      </c>
    </row>
    <row r="26" customFormat="false" ht="15" hidden="false" customHeight="false" outlineLevel="0" collapsed="false">
      <c r="A26" s="5" t="s">
        <v>20</v>
      </c>
      <c r="B26" s="6" t="s">
        <v>21</v>
      </c>
    </row>
    <row r="27" customFormat="false" ht="15" hidden="false" customHeight="false" outlineLevel="0" collapsed="false">
      <c r="A27" s="5" t="s">
        <v>22</v>
      </c>
      <c r="B27" s="6" t="s">
        <v>23</v>
      </c>
    </row>
    <row r="28" customFormat="false" ht="15" hidden="false" customHeight="false" outlineLevel="0" collapsed="false">
      <c r="A28" s="5" t="s">
        <v>24</v>
      </c>
      <c r="B28" s="7" t="s">
        <v>25</v>
      </c>
    </row>
    <row r="30" customFormat="false" ht="15" hidden="false" customHeight="false" outlineLevel="0" collapsed="false">
      <c r="A30" s="3" t="s">
        <v>26</v>
      </c>
    </row>
    <row r="31" customFormat="false" ht="15" hidden="false" customHeight="false" outlineLevel="0" collapsed="false">
      <c r="A31" s="6" t="s">
        <v>27</v>
      </c>
    </row>
    <row r="32" customFormat="false" ht="15" hidden="false" customHeight="false" outlineLevel="0" collapsed="false">
      <c r="A32" s="6" t="s">
        <v>28</v>
      </c>
    </row>
    <row r="33" customFormat="false" ht="15" hidden="false" customHeight="false" outlineLevel="0" collapsed="false">
      <c r="A33" s="6" t="s">
        <v>29</v>
      </c>
    </row>
    <row r="34" customFormat="false" ht="15" hidden="false" customHeight="false" outlineLevel="0" collapsed="false">
      <c r="A34" s="6"/>
    </row>
    <row r="35" customFormat="false" ht="15" hidden="false" customHeight="false" outlineLevel="0" collapsed="false">
      <c r="A35" s="6" t="s">
        <v>30</v>
      </c>
    </row>
    <row r="36" customFormat="false" ht="15" hidden="false" customHeight="false" outlineLevel="0" collapsed="false">
      <c r="A36" s="6" t="s">
        <v>31</v>
      </c>
    </row>
  </sheetData>
  <mergeCells count="12">
    <mergeCell ref="A5:I5"/>
    <mergeCell ref="A6:I6"/>
    <mergeCell ref="A9:I9"/>
    <mergeCell ref="A10:I10"/>
    <mergeCell ref="A11:I11"/>
    <mergeCell ref="A12:I12"/>
    <mergeCell ref="A15:I15"/>
    <mergeCell ref="A16:I16"/>
    <mergeCell ref="A17:I17"/>
    <mergeCell ref="A18:I18"/>
    <mergeCell ref="A21:I21"/>
    <mergeCell ref="A22:I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5" min="4" style="0" width="18"/>
  </cols>
  <sheetData>
    <row r="1" customFormat="false" ht="15" hidden="false" customHeight="false" outlineLevel="0" collapsed="false">
      <c r="A1" s="8" t="s">
        <v>32</v>
      </c>
      <c r="B1" s="8" t="s">
        <v>33</v>
      </c>
      <c r="C1" s="8" t="s">
        <v>34</v>
      </c>
      <c r="D1" s="8" t="s">
        <v>35</v>
      </c>
      <c r="E1" s="8" t="s">
        <v>36</v>
      </c>
    </row>
    <row r="2" customFormat="false" ht="15" hidden="false" customHeight="false" outlineLevel="0" collapsed="false">
      <c r="A2" s="9" t="s">
        <v>37</v>
      </c>
      <c r="B2" s="9" t="s">
        <v>38</v>
      </c>
      <c r="C2" s="10" t="n">
        <v>7179</v>
      </c>
      <c r="D2" s="11" t="n">
        <v>1385174787.92</v>
      </c>
      <c r="E2" s="11" t="n">
        <v>38268370.72</v>
      </c>
    </row>
    <row r="3" customFormat="false" ht="15" hidden="false" customHeight="false" outlineLevel="0" collapsed="false">
      <c r="A3" s="9" t="s">
        <v>39</v>
      </c>
      <c r="B3" s="9" t="s">
        <v>40</v>
      </c>
      <c r="C3" s="10" t="n">
        <v>3422</v>
      </c>
      <c r="D3" s="11" t="n">
        <v>1542436558.41</v>
      </c>
      <c r="E3" s="11" t="n">
        <v>11223529.81</v>
      </c>
    </row>
    <row r="4" customFormat="false" ht="15" hidden="false" customHeight="false" outlineLevel="0" collapsed="false">
      <c r="A4" s="9" t="s">
        <v>41</v>
      </c>
      <c r="B4" s="9" t="s">
        <v>38</v>
      </c>
      <c r="C4" s="10" t="n">
        <v>1220</v>
      </c>
      <c r="D4" s="11" t="n">
        <v>177150785.55</v>
      </c>
      <c r="E4" s="11" t="n">
        <v>4736020.65</v>
      </c>
    </row>
    <row r="5" customFormat="false" ht="15" hidden="false" customHeight="false" outlineLevel="0" collapsed="false">
      <c r="A5" s="9" t="s">
        <v>42</v>
      </c>
      <c r="B5" s="9" t="s">
        <v>38</v>
      </c>
      <c r="C5" s="10" t="n">
        <v>1196</v>
      </c>
      <c r="D5" s="11" t="n">
        <v>71205877.48</v>
      </c>
      <c r="E5" s="11" t="n">
        <v>2059352.48</v>
      </c>
    </row>
    <row r="6" customFormat="false" ht="15" hidden="false" customHeight="false" outlineLevel="0" collapsed="false">
      <c r="A6" s="9" t="s">
        <v>43</v>
      </c>
      <c r="B6" s="9" t="s">
        <v>38</v>
      </c>
      <c r="C6" s="10" t="n">
        <v>97</v>
      </c>
      <c r="D6" s="11" t="n">
        <v>24063525</v>
      </c>
      <c r="E6" s="11" t="n">
        <v>733525</v>
      </c>
    </row>
    <row r="7" customFormat="false" ht="15" hidden="false" customHeight="false" outlineLevel="0" collapsed="false">
      <c r="A7" s="9" t="s">
        <v>44</v>
      </c>
      <c r="B7" s="9" t="s">
        <v>40</v>
      </c>
      <c r="C7" s="10" t="n">
        <v>224</v>
      </c>
      <c r="D7" s="11" t="n">
        <v>75972461.4929</v>
      </c>
      <c r="E7" s="11" t="n">
        <v>558463.019899999</v>
      </c>
    </row>
    <row r="8" customFormat="false" ht="15" hidden="false" customHeight="false" outlineLevel="0" collapsed="false">
      <c r="A8" s="9" t="s">
        <v>45</v>
      </c>
      <c r="B8" s="9" t="s">
        <v>40</v>
      </c>
      <c r="C8" s="10" t="n">
        <v>109</v>
      </c>
      <c r="D8" s="11" t="n">
        <v>72741357.89</v>
      </c>
      <c r="E8" s="11" t="n">
        <v>528182.79</v>
      </c>
    </row>
    <row r="9" customFormat="false" ht="15" hidden="false" customHeight="false" outlineLevel="0" collapsed="false">
      <c r="A9" s="9" t="s">
        <v>46</v>
      </c>
      <c r="B9" s="9" t="s">
        <v>40</v>
      </c>
      <c r="C9" s="10" t="n">
        <v>211</v>
      </c>
      <c r="D9" s="11" t="n">
        <v>58763436.15</v>
      </c>
      <c r="E9" s="11" t="n">
        <v>426915.05</v>
      </c>
    </row>
    <row r="10" customFormat="false" ht="15" hidden="false" customHeight="false" outlineLevel="0" collapsed="false">
      <c r="A10" s="9" t="s">
        <v>47</v>
      </c>
      <c r="B10" s="9" t="s">
        <v>40</v>
      </c>
      <c r="C10" s="10" t="n">
        <v>312</v>
      </c>
      <c r="D10" s="11" t="n">
        <v>46150146.74</v>
      </c>
      <c r="E10" s="11" t="n">
        <v>336285.14</v>
      </c>
    </row>
    <row r="11" customFormat="false" ht="15" hidden="false" customHeight="false" outlineLevel="0" collapsed="false">
      <c r="A11" s="9" t="s">
        <v>48</v>
      </c>
      <c r="B11" s="9" t="s">
        <v>38</v>
      </c>
      <c r="C11" s="10" t="n">
        <v>125</v>
      </c>
      <c r="D11" s="11" t="n">
        <v>9178945</v>
      </c>
      <c r="E11" s="11" t="n">
        <v>281345</v>
      </c>
    </row>
    <row r="12" customFormat="false" ht="15" hidden="false" customHeight="false" outlineLevel="0" collapsed="false">
      <c r="A12" s="9" t="s">
        <v>49</v>
      </c>
      <c r="B12" s="9" t="s">
        <v>40</v>
      </c>
      <c r="C12" s="10" t="n">
        <v>29</v>
      </c>
      <c r="D12" s="11" t="n">
        <v>31107999.27</v>
      </c>
      <c r="E12" s="11" t="n">
        <v>226563.57</v>
      </c>
    </row>
    <row r="13" customFormat="false" ht="15" hidden="false" customHeight="false" outlineLevel="0" collapsed="false">
      <c r="A13" s="9" t="s">
        <v>50</v>
      </c>
      <c r="B13" s="9" t="s">
        <v>38</v>
      </c>
      <c r="C13" s="10" t="n">
        <v>31</v>
      </c>
      <c r="D13" s="11" t="n">
        <v>6937330</v>
      </c>
      <c r="E13" s="11" t="n">
        <v>193930</v>
      </c>
    </row>
    <row r="14" customFormat="false" ht="15" hidden="false" customHeight="false" outlineLevel="0" collapsed="false">
      <c r="A14" s="9" t="s">
        <v>51</v>
      </c>
      <c r="B14" s="9" t="s">
        <v>38</v>
      </c>
      <c r="C14" s="10" t="n">
        <v>58</v>
      </c>
      <c r="D14" s="11" t="n">
        <v>5529390</v>
      </c>
      <c r="E14" s="11" t="n">
        <v>167290</v>
      </c>
    </row>
    <row r="15" customFormat="false" ht="15" hidden="false" customHeight="false" outlineLevel="0" collapsed="false">
      <c r="A15" s="9" t="s">
        <v>52</v>
      </c>
      <c r="B15" s="9" t="s">
        <v>40</v>
      </c>
      <c r="C15" s="10" t="n">
        <v>26</v>
      </c>
      <c r="D15" s="11" t="n">
        <v>22863207.7</v>
      </c>
      <c r="E15" s="11" t="n">
        <v>165900.4</v>
      </c>
    </row>
    <row r="16" customFormat="false" ht="15" hidden="false" customHeight="false" outlineLevel="0" collapsed="false">
      <c r="A16" s="9" t="s">
        <v>53</v>
      </c>
      <c r="B16" s="9" t="s">
        <v>38</v>
      </c>
      <c r="C16" s="10" t="n">
        <v>25</v>
      </c>
      <c r="D16" s="11" t="n">
        <v>5057070</v>
      </c>
      <c r="E16" s="11" t="n">
        <v>162410</v>
      </c>
    </row>
    <row r="17" customFormat="false" ht="15" hidden="false" customHeight="false" outlineLevel="0" collapsed="false">
      <c r="A17" s="9" t="s">
        <v>54</v>
      </c>
      <c r="B17" s="9" t="s">
        <v>38</v>
      </c>
      <c r="C17" s="10" t="n">
        <v>58</v>
      </c>
      <c r="D17" s="11" t="n">
        <v>5037200</v>
      </c>
      <c r="E17" s="11" t="n">
        <v>160450</v>
      </c>
    </row>
    <row r="18" customFormat="false" ht="15" hidden="false" customHeight="false" outlineLevel="0" collapsed="false">
      <c r="A18" s="9" t="s">
        <v>55</v>
      </c>
      <c r="B18" s="9" t="s">
        <v>38</v>
      </c>
      <c r="C18" s="10" t="n">
        <v>19</v>
      </c>
      <c r="D18" s="11" t="n">
        <v>5384094</v>
      </c>
      <c r="E18" s="11" t="n">
        <v>159724</v>
      </c>
    </row>
    <row r="19" customFormat="false" ht="15" hidden="false" customHeight="false" outlineLevel="0" collapsed="false">
      <c r="A19" s="9" t="s">
        <v>56</v>
      </c>
      <c r="B19" s="9" t="s">
        <v>38</v>
      </c>
      <c r="C19" s="10" t="n">
        <v>8</v>
      </c>
      <c r="D19" s="11" t="n">
        <v>2661350</v>
      </c>
      <c r="E19" s="11" t="n">
        <v>110950</v>
      </c>
    </row>
    <row r="20" customFormat="false" ht="15" hidden="false" customHeight="false" outlineLevel="0" collapsed="false">
      <c r="A20" s="9" t="s">
        <v>57</v>
      </c>
      <c r="B20" s="9" t="s">
        <v>38</v>
      </c>
      <c r="C20" s="10" t="n">
        <v>11</v>
      </c>
      <c r="D20" s="11" t="n">
        <v>2768950</v>
      </c>
      <c r="E20" s="11" t="n">
        <v>77950</v>
      </c>
    </row>
    <row r="21" customFormat="false" ht="15" hidden="false" customHeight="false" outlineLevel="0" collapsed="false">
      <c r="A21" s="9" t="s">
        <v>58</v>
      </c>
      <c r="B21" s="9" t="s">
        <v>40</v>
      </c>
      <c r="C21" s="10" t="n">
        <v>23</v>
      </c>
      <c r="D21" s="11" t="n">
        <v>8621492.44</v>
      </c>
      <c r="E21" s="11" t="n">
        <v>62312.6399999999</v>
      </c>
    </row>
    <row r="22" customFormat="false" ht="15" hidden="false" customHeight="false" outlineLevel="0" collapsed="false">
      <c r="A22" s="9" t="s">
        <v>59</v>
      </c>
      <c r="B22" s="9" t="s">
        <v>38</v>
      </c>
      <c r="C22" s="10" t="n">
        <v>3</v>
      </c>
      <c r="D22" s="11" t="n">
        <v>1900750</v>
      </c>
      <c r="E22" s="11" t="n">
        <v>59950</v>
      </c>
    </row>
    <row r="23" customFormat="false" ht="15" hidden="false" customHeight="false" outlineLevel="0" collapsed="false">
      <c r="A23" s="9" t="s">
        <v>60</v>
      </c>
      <c r="B23" s="9" t="s">
        <v>38</v>
      </c>
      <c r="C23" s="10" t="n">
        <v>8</v>
      </c>
      <c r="D23" s="11" t="n">
        <v>782955</v>
      </c>
      <c r="E23" s="11" t="n">
        <v>47180</v>
      </c>
    </row>
    <row r="24" customFormat="false" ht="15" hidden="false" customHeight="false" outlineLevel="0" collapsed="false">
      <c r="A24" s="9" t="s">
        <v>61</v>
      </c>
      <c r="B24" s="9" t="s">
        <v>38</v>
      </c>
      <c r="C24" s="10" t="n">
        <v>13</v>
      </c>
      <c r="D24" s="11" t="n">
        <v>1055875</v>
      </c>
      <c r="E24" s="11" t="n">
        <v>44875</v>
      </c>
    </row>
    <row r="25" customFormat="false" ht="15" hidden="false" customHeight="false" outlineLevel="0" collapsed="false">
      <c r="A25" s="9" t="s">
        <v>62</v>
      </c>
      <c r="B25" s="9" t="s">
        <v>38</v>
      </c>
      <c r="C25" s="10" t="n">
        <v>6</v>
      </c>
      <c r="D25" s="11" t="n">
        <v>932387</v>
      </c>
      <c r="E25" s="11" t="n">
        <v>25782</v>
      </c>
    </row>
    <row r="26" customFormat="false" ht="15" hidden="false" customHeight="false" outlineLevel="0" collapsed="false">
      <c r="A26" s="9" t="s">
        <v>63</v>
      </c>
      <c r="B26" s="9" t="s">
        <v>38</v>
      </c>
      <c r="C26" s="10" t="n">
        <v>6</v>
      </c>
      <c r="D26" s="11" t="n">
        <v>818975</v>
      </c>
      <c r="E26" s="11" t="n">
        <v>22025</v>
      </c>
    </row>
    <row r="27" customFormat="false" ht="15" hidden="false" customHeight="false" outlineLevel="0" collapsed="false">
      <c r="A27" s="9" t="s">
        <v>64</v>
      </c>
      <c r="B27" s="9" t="s">
        <v>38</v>
      </c>
      <c r="C27" s="10" t="n">
        <v>1</v>
      </c>
      <c r="D27" s="11" t="n">
        <v>538000</v>
      </c>
      <c r="E27" s="11" t="n">
        <v>15000</v>
      </c>
    </row>
    <row r="28" customFormat="false" ht="15" hidden="false" customHeight="false" outlineLevel="0" collapsed="false">
      <c r="A28" s="9" t="s">
        <v>65</v>
      </c>
      <c r="B28" s="9" t="s">
        <v>40</v>
      </c>
      <c r="C28" s="10" t="n">
        <v>4</v>
      </c>
      <c r="D28" s="11" t="n">
        <v>1298115.12</v>
      </c>
      <c r="E28" s="11" t="n">
        <v>9489.31999999998</v>
      </c>
    </row>
    <row r="29" customFormat="false" ht="15" hidden="false" customHeight="false" outlineLevel="0" collapsed="false">
      <c r="A29" s="9" t="s">
        <v>66</v>
      </c>
      <c r="B29" s="9" t="s">
        <v>38</v>
      </c>
      <c r="C29" s="10" t="n">
        <v>1</v>
      </c>
      <c r="D29" s="11" t="n">
        <v>116600</v>
      </c>
      <c r="E29" s="11" t="n">
        <v>6000</v>
      </c>
    </row>
    <row r="30" customFormat="false" ht="15" hidden="false" customHeight="false" outlineLevel="0" collapsed="false">
      <c r="A30" s="9" t="s">
        <v>67</v>
      </c>
      <c r="B30" s="9" t="s">
        <v>38</v>
      </c>
      <c r="C30" s="10" t="n">
        <v>2</v>
      </c>
      <c r="D30" s="11" t="n">
        <v>141400</v>
      </c>
      <c r="E30" s="11" t="n">
        <v>6000</v>
      </c>
    </row>
    <row r="31" customFormat="false" ht="15" hidden="false" customHeight="false" outlineLevel="0" collapsed="false">
      <c r="A31" s="9" t="s">
        <v>68</v>
      </c>
      <c r="B31" s="9" t="s">
        <v>38</v>
      </c>
      <c r="C31" s="10" t="n">
        <v>4</v>
      </c>
      <c r="D31" s="11" t="n">
        <v>281775</v>
      </c>
      <c r="E31" s="11" t="n">
        <v>5225</v>
      </c>
    </row>
    <row r="32" customFormat="false" ht="15" hidden="false" customHeight="false" outlineLevel="0" collapsed="false">
      <c r="A32" s="9" t="s">
        <v>69</v>
      </c>
      <c r="B32" s="9" t="s">
        <v>38</v>
      </c>
      <c r="C32" s="10" t="n">
        <v>2</v>
      </c>
      <c r="D32" s="11" t="n">
        <v>56875</v>
      </c>
      <c r="E32" s="11" t="n">
        <v>3725</v>
      </c>
    </row>
    <row r="33" customFormat="false" ht="15" hidden="false" customHeight="false" outlineLevel="0" collapsed="false">
      <c r="A33" s="9" t="s">
        <v>70</v>
      </c>
      <c r="B33" s="9" t="s">
        <v>40</v>
      </c>
      <c r="C33" s="10" t="n">
        <v>7</v>
      </c>
      <c r="D33" s="11" t="n">
        <v>415569.25</v>
      </c>
      <c r="E33" s="11" t="n">
        <v>3005.75</v>
      </c>
    </row>
    <row r="34" customFormat="false" ht="15" hidden="false" customHeight="false" outlineLevel="0" collapsed="false">
      <c r="A34" s="9" t="s">
        <v>71</v>
      </c>
      <c r="B34" s="9" t="s">
        <v>38</v>
      </c>
      <c r="C34" s="10" t="n">
        <v>2</v>
      </c>
      <c r="D34" s="11" t="n">
        <v>123800</v>
      </c>
      <c r="E34" s="11" t="n">
        <v>3000</v>
      </c>
    </row>
    <row r="35" customFormat="false" ht="15" hidden="false" customHeight="false" outlineLevel="0" collapsed="false">
      <c r="A35" s="9" t="s">
        <v>45</v>
      </c>
      <c r="B35" s="9" t="s">
        <v>38</v>
      </c>
      <c r="C35" s="10" t="n">
        <v>4</v>
      </c>
      <c r="D35" s="11" t="n">
        <v>192700.05</v>
      </c>
      <c r="E35" s="11" t="n">
        <v>1406.55</v>
      </c>
    </row>
    <row r="36" customFormat="false" ht="15" hidden="false" customHeight="false" outlineLevel="0" collapsed="false">
      <c r="A36" s="9" t="s">
        <v>62</v>
      </c>
      <c r="B36" s="9" t="s">
        <v>40</v>
      </c>
      <c r="C36" s="10" t="n">
        <v>2</v>
      </c>
      <c r="D36" s="11" t="n">
        <v>34000</v>
      </c>
      <c r="E36" s="11" t="n">
        <v>250</v>
      </c>
    </row>
    <row r="37" customFormat="false" ht="15" hidden="false" customHeight="false" outlineLevel="0" collapsed="false">
      <c r="A37" s="9" t="s">
        <v>72</v>
      </c>
      <c r="B37" s="9" t="s">
        <v>38</v>
      </c>
      <c r="C37" s="10" t="n">
        <v>1</v>
      </c>
      <c r="D37" s="11" t="n">
        <v>0</v>
      </c>
      <c r="E37" s="11" t="n">
        <v>0</v>
      </c>
    </row>
    <row r="38" customFormat="false" ht="15" hidden="false" customHeight="false" outlineLevel="0" collapsed="false">
      <c r="A38" s="9" t="s">
        <v>61</v>
      </c>
      <c r="B38" s="9" t="s">
        <v>40</v>
      </c>
      <c r="C38" s="10" t="n">
        <v>1</v>
      </c>
      <c r="D38" s="11" t="n">
        <v>0</v>
      </c>
      <c r="E38" s="11" t="n">
        <v>0</v>
      </c>
    </row>
  </sheetData>
  <autoFilter ref="A1:E38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K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7"/>
    <col collapsed="false" customWidth="true" hidden="false" outlineLevel="0" max="3" min="3" style="0" width="18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7" min="6" style="0" width="18"/>
    <col collapsed="false" customWidth="true" hidden="false" outlineLevel="0" max="8" min="8" style="0" width="11"/>
    <col collapsed="false" customWidth="true" hidden="false" outlineLevel="0" max="9" min="9" style="0" width="14"/>
    <col collapsed="false" customWidth="true" hidden="false" outlineLevel="0" max="10" min="10" style="0" width="15"/>
    <col collapsed="false" customWidth="true" hidden="false" outlineLevel="0" max="11" min="11" style="0" width="12"/>
  </cols>
  <sheetData>
    <row r="1" customFormat="false" ht="19.7" hidden="false" customHeight="false" outlineLevel="0" collapsed="false">
      <c r="B1" s="1" t="s">
        <v>73</v>
      </c>
    </row>
    <row r="2" customFormat="false" ht="15" hidden="false" customHeight="false" outlineLevel="0" collapsed="false">
      <c r="B2" s="12" t="s">
        <v>74</v>
      </c>
    </row>
    <row r="4" customFormat="false" ht="15" hidden="false" customHeight="false" outlineLevel="0" collapsed="false">
      <c r="B4" s="13" t="s">
        <v>75</v>
      </c>
      <c r="C4" s="13" t="s">
        <v>32</v>
      </c>
      <c r="D4" s="13" t="s">
        <v>33</v>
      </c>
      <c r="E4" s="13" t="s">
        <v>34</v>
      </c>
      <c r="F4" s="13" t="s">
        <v>35</v>
      </c>
      <c r="G4" s="13" t="s">
        <v>36</v>
      </c>
      <c r="H4" s="13" t="s">
        <v>76</v>
      </c>
      <c r="I4" s="13" t="s">
        <v>77</v>
      </c>
      <c r="J4" s="13" t="s">
        <v>78</v>
      </c>
      <c r="K4" s="13" t="s">
        <v>79</v>
      </c>
    </row>
    <row r="5" customFormat="false" ht="15" hidden="false" customHeight="false" outlineLevel="0" collapsed="false">
      <c r="B5" s="9" t="n">
        <v>1</v>
      </c>
      <c r="C5" s="14" t="s">
        <v>37</v>
      </c>
      <c r="D5" s="9" t="s">
        <v>38</v>
      </c>
      <c r="E5" s="10" t="n">
        <f aca="false">SUMIFS(Data!$C$2:$C$38,Data!$A$2:$A$38,$C5)</f>
        <v>7179</v>
      </c>
      <c r="F5" s="10" t="n">
        <f aca="false">SUMIFS(Data!$D$2:$D$38,Data!$A$2:$A$38,$C5)</f>
        <v>1385174787.92</v>
      </c>
      <c r="G5" s="10" t="n">
        <f aca="false">SUMIFS(Data!$E$2:$E$38,Data!$A$2:$A$38,$C5)</f>
        <v>38268370.72</v>
      </c>
      <c r="H5" s="15" t="n">
        <f aca="false">IFERROR(G5/F5,0)</f>
        <v>0.0276271060184862</v>
      </c>
      <c r="I5" s="10" t="n">
        <f aca="false">IFERROR(F5/E5,0)</f>
        <v>192948.152656359</v>
      </c>
      <c r="J5" s="11" t="n">
        <f aca="false">IFERROR(G5/E5,0)</f>
        <v>5330.59906950829</v>
      </c>
      <c r="K5" s="16" t="n">
        <f aca="false">IFERROR(G5/SUM(Data!$E$2:$E$38),0)</f>
        <v>0.628459066230571</v>
      </c>
    </row>
    <row r="6" customFormat="false" ht="15" hidden="false" customHeight="false" outlineLevel="0" collapsed="false">
      <c r="B6" s="9" t="n">
        <v>2</v>
      </c>
      <c r="C6" s="14" t="s">
        <v>39</v>
      </c>
      <c r="D6" s="9" t="s">
        <v>40</v>
      </c>
      <c r="E6" s="10" t="n">
        <f aca="false">SUMIFS(Data!$C$2:$C$38,Data!$A$2:$A$38,$C6)</f>
        <v>3422</v>
      </c>
      <c r="F6" s="10" t="n">
        <f aca="false">SUMIFS(Data!$D$2:$D$38,Data!$A$2:$A$38,$C6)</f>
        <v>1542436558.41</v>
      </c>
      <c r="G6" s="10" t="n">
        <f aca="false">SUMIFS(Data!$E$2:$E$38,Data!$A$2:$A$38,$C6)</f>
        <v>11223529.81</v>
      </c>
      <c r="H6" s="15" t="n">
        <f aca="false">IFERROR(G6/F6,0)</f>
        <v>0.00727649364170259</v>
      </c>
      <c r="I6" s="10" t="n">
        <f aca="false">IFERROR(F6/E6,0)</f>
        <v>450741.250265926</v>
      </c>
      <c r="J6" s="11" t="n">
        <f aca="false">IFERROR(G6/E6,0)</f>
        <v>3279.81584161309</v>
      </c>
      <c r="K6" s="16" t="n">
        <f aca="false">IFERROR(G6/SUM(Data!$E$2:$E$38),0)</f>
        <v>0.18431746456656</v>
      </c>
    </row>
    <row r="7" customFormat="false" ht="15" hidden="false" customHeight="false" outlineLevel="0" collapsed="false">
      <c r="B7" s="9" t="n">
        <v>3</v>
      </c>
      <c r="C7" s="14" t="s">
        <v>41</v>
      </c>
      <c r="D7" s="9" t="s">
        <v>38</v>
      </c>
      <c r="E7" s="10" t="n">
        <f aca="false">SUMIFS(Data!$C$2:$C$38,Data!$A$2:$A$38,$C7)</f>
        <v>1220</v>
      </c>
      <c r="F7" s="10" t="n">
        <f aca="false">SUMIFS(Data!$D$2:$D$38,Data!$A$2:$A$38,$C7)</f>
        <v>177150785.55</v>
      </c>
      <c r="G7" s="10" t="n">
        <f aca="false">SUMIFS(Data!$E$2:$E$38,Data!$A$2:$A$38,$C7)</f>
        <v>4736020.65</v>
      </c>
      <c r="H7" s="15" t="n">
        <f aca="false">IFERROR(G7/F7,0)</f>
        <v>0.0267344038881684</v>
      </c>
      <c r="I7" s="10" t="n">
        <f aca="false">IFERROR(F7/E7,0)</f>
        <v>145205.56192623</v>
      </c>
      <c r="J7" s="11" t="n">
        <f aca="false">IFERROR(G7/E7,0)</f>
        <v>3881.98413934426</v>
      </c>
      <c r="K7" s="16" t="n">
        <f aca="false">IFERROR(G7/SUM(Data!$E$2:$E$38),0)</f>
        <v>0.0777768966733711</v>
      </c>
    </row>
    <row r="8" customFormat="false" ht="15" hidden="false" customHeight="false" outlineLevel="0" collapsed="false">
      <c r="B8" s="9" t="n">
        <v>4</v>
      </c>
      <c r="C8" s="14" t="s">
        <v>42</v>
      </c>
      <c r="D8" s="9" t="s">
        <v>38</v>
      </c>
      <c r="E8" s="10" t="n">
        <f aca="false">SUMIFS(Data!$C$2:$C$38,Data!$A$2:$A$38,$C8)</f>
        <v>1196</v>
      </c>
      <c r="F8" s="10" t="n">
        <f aca="false">SUMIFS(Data!$D$2:$D$38,Data!$A$2:$A$38,$C8)</f>
        <v>71205877.48</v>
      </c>
      <c r="G8" s="10" t="n">
        <f aca="false">SUMIFS(Data!$E$2:$E$38,Data!$A$2:$A$38,$C8)</f>
        <v>2059352.48</v>
      </c>
      <c r="H8" s="15" t="n">
        <f aca="false">IFERROR(G8/F8,0)</f>
        <v>0.0289211024831261</v>
      </c>
      <c r="I8" s="10" t="n">
        <f aca="false">IFERROR(F8/E8,0)</f>
        <v>59536.6868561873</v>
      </c>
      <c r="J8" s="11" t="n">
        <f aca="false">IFERROR(G8/E8,0)</f>
        <v>1721.86662207358</v>
      </c>
      <c r="K8" s="16" t="n">
        <f aca="false">IFERROR(G8/SUM(Data!$E$2:$E$38),0)</f>
        <v>0.0338195411058882</v>
      </c>
    </row>
    <row r="9" customFormat="false" ht="15" hidden="false" customHeight="false" outlineLevel="0" collapsed="false">
      <c r="B9" s="9" t="n">
        <v>5</v>
      </c>
      <c r="C9" s="14" t="s">
        <v>43</v>
      </c>
      <c r="D9" s="9" t="s">
        <v>38</v>
      </c>
      <c r="E9" s="10" t="n">
        <f aca="false">SUMIFS(Data!$C$2:$C$38,Data!$A$2:$A$38,$C9)</f>
        <v>97</v>
      </c>
      <c r="F9" s="10" t="n">
        <f aca="false">SUMIFS(Data!$D$2:$D$38,Data!$A$2:$A$38,$C9)</f>
        <v>24063525</v>
      </c>
      <c r="G9" s="10" t="n">
        <f aca="false">SUMIFS(Data!$E$2:$E$38,Data!$A$2:$A$38,$C9)</f>
        <v>733525</v>
      </c>
      <c r="H9" s="15" t="n">
        <f aca="false">IFERROR(G9/F9,0)</f>
        <v>0.0304828573536088</v>
      </c>
      <c r="I9" s="10" t="n">
        <f aca="false">IFERROR(F9/E9,0)</f>
        <v>248077.577319588</v>
      </c>
      <c r="J9" s="11" t="n">
        <f aca="false">IFERROR(G9/E9,0)</f>
        <v>7562.11340206186</v>
      </c>
      <c r="K9" s="16" t="n">
        <f aca="false">IFERROR(G9/SUM(Data!$E$2:$E$38),0)</f>
        <v>0.0120462519799897</v>
      </c>
    </row>
    <row r="10" customFormat="false" ht="15" hidden="false" customHeight="false" outlineLevel="0" collapsed="false">
      <c r="B10" s="9" t="n">
        <v>6</v>
      </c>
      <c r="C10" s="14" t="s">
        <v>44</v>
      </c>
      <c r="D10" s="9" t="s">
        <v>40</v>
      </c>
      <c r="E10" s="10" t="n">
        <f aca="false">SUMIFS(Data!$C$2:$C$38,Data!$A$2:$A$38,$C10)</f>
        <v>224</v>
      </c>
      <c r="F10" s="10" t="n">
        <f aca="false">SUMIFS(Data!$D$2:$D$38,Data!$A$2:$A$38,$C10)</f>
        <v>75972461.4929</v>
      </c>
      <c r="G10" s="10" t="n">
        <f aca="false">SUMIFS(Data!$E$2:$E$38,Data!$A$2:$A$38,$C10)</f>
        <v>558463.019899999</v>
      </c>
      <c r="H10" s="15" t="n">
        <f aca="false">IFERROR(G10/F10,0)</f>
        <v>0.00735086120583562</v>
      </c>
      <c r="I10" s="10" t="n">
        <f aca="false">IFERROR(F10/E10,0)</f>
        <v>339162.774521875</v>
      </c>
      <c r="J10" s="11" t="n">
        <f aca="false">IFERROR(G10/E10,0)</f>
        <v>2493.13848169643</v>
      </c>
      <c r="K10" s="16" t="n">
        <f aca="false">IFERROR(G10/SUM(Data!$E$2:$E$38),0)</f>
        <v>0.00917131148798117</v>
      </c>
    </row>
    <row r="11" customFormat="false" ht="15" hidden="false" customHeight="false" outlineLevel="0" collapsed="false">
      <c r="B11" s="9" t="n">
        <v>7</v>
      </c>
      <c r="C11" s="14" t="s">
        <v>45</v>
      </c>
      <c r="D11" s="9" t="s">
        <v>40</v>
      </c>
      <c r="E11" s="10" t="n">
        <f aca="false">SUMIFS(Data!$C$2:$C$38,Data!$A$2:$A$38,$C11)</f>
        <v>113</v>
      </c>
      <c r="F11" s="10" t="n">
        <f aca="false">SUMIFS(Data!$D$2:$D$38,Data!$A$2:$A$38,$C11)</f>
        <v>72934057.94</v>
      </c>
      <c r="G11" s="10" t="n">
        <f aca="false">SUMIFS(Data!$E$2:$E$38,Data!$A$2:$A$38,$C11)</f>
        <v>529589.34</v>
      </c>
      <c r="H11" s="15" t="n">
        <f aca="false">IFERROR(G11/F11,0)</f>
        <v>0.0072612076574112</v>
      </c>
      <c r="I11" s="10" t="n">
        <f aca="false">IFERROR(F11/E11,0)</f>
        <v>645434.141061947</v>
      </c>
      <c r="J11" s="11" t="n">
        <f aca="false">IFERROR(G11/E11,0)</f>
        <v>4686.63132743363</v>
      </c>
      <c r="K11" s="16" t="n">
        <f aca="false">IFERROR(G11/SUM(Data!$E$2:$E$38),0)</f>
        <v>0.00869713593341254</v>
      </c>
    </row>
    <row r="12" customFormat="false" ht="15" hidden="false" customHeight="false" outlineLevel="0" collapsed="false">
      <c r="B12" s="9" t="n">
        <v>8</v>
      </c>
      <c r="C12" s="14" t="s">
        <v>46</v>
      </c>
      <c r="D12" s="9" t="s">
        <v>40</v>
      </c>
      <c r="E12" s="10" t="n">
        <f aca="false">SUMIFS(Data!$C$2:$C$38,Data!$A$2:$A$38,$C12)</f>
        <v>211</v>
      </c>
      <c r="F12" s="10" t="n">
        <f aca="false">SUMIFS(Data!$D$2:$D$38,Data!$A$2:$A$38,$C12)</f>
        <v>58763436.15</v>
      </c>
      <c r="G12" s="10" t="n">
        <f aca="false">SUMIFS(Data!$E$2:$E$38,Data!$A$2:$A$38,$C12)</f>
        <v>426915.05</v>
      </c>
      <c r="H12" s="15" t="n">
        <f aca="false">IFERROR(G12/F12,0)</f>
        <v>0.00726497764545718</v>
      </c>
      <c r="I12" s="10" t="n">
        <f aca="false">IFERROR(F12/E12,0)</f>
        <v>278499.697393365</v>
      </c>
      <c r="J12" s="11" t="n">
        <f aca="false">IFERROR(G12/E12,0)</f>
        <v>2023.29407582938</v>
      </c>
      <c r="K12" s="16" t="n">
        <f aca="false">IFERROR(G12/SUM(Data!$E$2:$E$38),0)</f>
        <v>0.00701097613080658</v>
      </c>
    </row>
    <row r="13" customFormat="false" ht="15" hidden="false" customHeight="false" outlineLevel="0" collapsed="false">
      <c r="B13" s="9" t="n">
        <v>9</v>
      </c>
      <c r="C13" s="14" t="s">
        <v>47</v>
      </c>
      <c r="D13" s="9" t="s">
        <v>40</v>
      </c>
      <c r="E13" s="10" t="n">
        <f aca="false">SUMIFS(Data!$C$2:$C$38,Data!$A$2:$A$38,$C13)</f>
        <v>312</v>
      </c>
      <c r="F13" s="10" t="n">
        <f aca="false">SUMIFS(Data!$D$2:$D$38,Data!$A$2:$A$38,$C13)</f>
        <v>46150146.74</v>
      </c>
      <c r="G13" s="10" t="n">
        <f aca="false">SUMIFS(Data!$E$2:$E$38,Data!$A$2:$A$38,$C13)</f>
        <v>336285.14</v>
      </c>
      <c r="H13" s="15" t="n">
        <f aca="false">IFERROR(G13/F13,0)</f>
        <v>0.0072867620962195</v>
      </c>
      <c r="I13" s="10" t="n">
        <f aca="false">IFERROR(F13/E13,0)</f>
        <v>147917.13698718</v>
      </c>
      <c r="J13" s="11" t="n">
        <f aca="false">IFERROR(G13/E13,0)</f>
        <v>1077.83698717949</v>
      </c>
      <c r="K13" s="16" t="n">
        <f aca="false">IFERROR(G13/SUM(Data!$E$2:$E$38),0)</f>
        <v>0.00552261413525934</v>
      </c>
    </row>
    <row r="14" customFormat="false" ht="15" hidden="false" customHeight="false" outlineLevel="0" collapsed="false">
      <c r="B14" s="9" t="n">
        <v>10</v>
      </c>
      <c r="C14" s="14" t="s">
        <v>48</v>
      </c>
      <c r="D14" s="9" t="s">
        <v>38</v>
      </c>
      <c r="E14" s="10" t="n">
        <f aca="false">SUMIFS(Data!$C$2:$C$38,Data!$A$2:$A$38,$C14)</f>
        <v>125</v>
      </c>
      <c r="F14" s="10" t="n">
        <f aca="false">SUMIFS(Data!$D$2:$D$38,Data!$A$2:$A$38,$C14)</f>
        <v>9178945</v>
      </c>
      <c r="G14" s="10" t="n">
        <f aca="false">SUMIFS(Data!$E$2:$E$38,Data!$A$2:$A$38,$C14)</f>
        <v>281345</v>
      </c>
      <c r="H14" s="15" t="n">
        <f aca="false">IFERROR(G14/F14,0)</f>
        <v>0.0306511260281002</v>
      </c>
      <c r="I14" s="10" t="n">
        <f aca="false">IFERROR(F14/E14,0)</f>
        <v>73431.56</v>
      </c>
      <c r="J14" s="11" t="n">
        <f aca="false">IFERROR(G14/E14,0)</f>
        <v>2250.76</v>
      </c>
      <c r="K14" s="16" t="n">
        <f aca="false">IFERROR(G14/SUM(Data!$E$2:$E$38),0)</f>
        <v>0.00462036435473937</v>
      </c>
    </row>
    <row r="15" customFormat="false" ht="15" hidden="false" customHeight="false" outlineLevel="0" collapsed="false">
      <c r="B15" s="9" t="n">
        <v>11</v>
      </c>
      <c r="C15" s="14" t="s">
        <v>49</v>
      </c>
      <c r="D15" s="9" t="s">
        <v>40</v>
      </c>
      <c r="E15" s="10" t="n">
        <f aca="false">SUMIFS(Data!$C$2:$C$38,Data!$A$2:$A$38,$C15)</f>
        <v>29</v>
      </c>
      <c r="F15" s="10" t="n">
        <f aca="false">SUMIFS(Data!$D$2:$D$38,Data!$A$2:$A$38,$C15)</f>
        <v>31107999.27</v>
      </c>
      <c r="G15" s="10" t="n">
        <f aca="false">SUMIFS(Data!$E$2:$E$38,Data!$A$2:$A$38,$C15)</f>
        <v>226563.57</v>
      </c>
      <c r="H15" s="15" t="n">
        <f aca="false">IFERROR(G15/F15,0)</f>
        <v>0.00728312894807394</v>
      </c>
      <c r="I15" s="10" t="n">
        <f aca="false">IFERROR(F15/E15,0)</f>
        <v>1072689.63</v>
      </c>
      <c r="J15" s="11" t="n">
        <f aca="false">IFERROR(G15/E15,0)</f>
        <v>7812.53689655173</v>
      </c>
      <c r="K15" s="16" t="n">
        <f aca="false">IFERROR(G15/SUM(Data!$E$2:$E$38),0)</f>
        <v>0.00372072097570776</v>
      </c>
    </row>
    <row r="16" customFormat="false" ht="15" hidden="false" customHeight="false" outlineLevel="0" collapsed="false">
      <c r="B16" s="9" t="n">
        <v>12</v>
      </c>
      <c r="C16" s="14" t="s">
        <v>50</v>
      </c>
      <c r="D16" s="9" t="s">
        <v>38</v>
      </c>
      <c r="E16" s="10" t="n">
        <f aca="false">SUMIFS(Data!$C$2:$C$38,Data!$A$2:$A$38,$C16)</f>
        <v>31</v>
      </c>
      <c r="F16" s="10" t="n">
        <f aca="false">SUMIFS(Data!$D$2:$D$38,Data!$A$2:$A$38,$C16)</f>
        <v>6937330</v>
      </c>
      <c r="G16" s="10" t="n">
        <f aca="false">SUMIFS(Data!$E$2:$E$38,Data!$A$2:$A$38,$C16)</f>
        <v>193930</v>
      </c>
      <c r="H16" s="15" t="n">
        <f aca="false">IFERROR(G16/F16,0)</f>
        <v>0.027954558886488</v>
      </c>
      <c r="I16" s="10" t="n">
        <f aca="false">IFERROR(F16/E16,0)</f>
        <v>223784.838709677</v>
      </c>
      <c r="J16" s="11" t="n">
        <f aca="false">IFERROR(G16/E16,0)</f>
        <v>6255.8064516129</v>
      </c>
      <c r="K16" s="16" t="n">
        <f aca="false">IFERROR(G16/SUM(Data!$E$2:$E$38),0)</f>
        <v>0.0031847989454748</v>
      </c>
    </row>
    <row r="17" customFormat="false" ht="15" hidden="false" customHeight="false" outlineLevel="0" collapsed="false">
      <c r="B17" s="9" t="n">
        <v>13</v>
      </c>
      <c r="C17" s="14" t="s">
        <v>51</v>
      </c>
      <c r="D17" s="9" t="s">
        <v>38</v>
      </c>
      <c r="E17" s="10" t="n">
        <f aca="false">SUMIFS(Data!$C$2:$C$38,Data!$A$2:$A$38,$C17)</f>
        <v>58</v>
      </c>
      <c r="F17" s="10" t="n">
        <f aca="false">SUMIFS(Data!$D$2:$D$38,Data!$A$2:$A$38,$C17)</f>
        <v>5529390</v>
      </c>
      <c r="G17" s="10" t="n">
        <f aca="false">SUMIFS(Data!$E$2:$E$38,Data!$A$2:$A$38,$C17)</f>
        <v>167290</v>
      </c>
      <c r="H17" s="15" t="n">
        <f aca="false">IFERROR(G17/F17,0)</f>
        <v>0.0302546935557087</v>
      </c>
      <c r="I17" s="10" t="n">
        <f aca="false">IFERROR(F17/E17,0)</f>
        <v>95334.3103448276</v>
      </c>
      <c r="J17" s="11" t="n">
        <f aca="false">IFERROR(G17/E17,0)</f>
        <v>2884.31034482759</v>
      </c>
      <c r="K17" s="16" t="n">
        <f aca="false">IFERROR(G17/SUM(Data!$E$2:$E$38),0)</f>
        <v>0.00274730580925323</v>
      </c>
    </row>
    <row r="18" customFormat="false" ht="15" hidden="false" customHeight="false" outlineLevel="0" collapsed="false">
      <c r="B18" s="9" t="n">
        <v>14</v>
      </c>
      <c r="C18" s="14" t="s">
        <v>52</v>
      </c>
      <c r="D18" s="9" t="s">
        <v>40</v>
      </c>
      <c r="E18" s="10" t="n">
        <f aca="false">SUMIFS(Data!$C$2:$C$38,Data!$A$2:$A$38,$C18)</f>
        <v>26</v>
      </c>
      <c r="F18" s="10" t="n">
        <f aca="false">SUMIFS(Data!$D$2:$D$38,Data!$A$2:$A$38,$C18)</f>
        <v>22863207.7</v>
      </c>
      <c r="G18" s="10" t="n">
        <f aca="false">SUMIFS(Data!$E$2:$E$38,Data!$A$2:$A$38,$C18)</f>
        <v>165900.4</v>
      </c>
      <c r="H18" s="15" t="n">
        <f aca="false">IFERROR(G18/F18,0)</f>
        <v>0.00725621715801498</v>
      </c>
      <c r="I18" s="10" t="n">
        <f aca="false">IFERROR(F18/E18,0)</f>
        <v>879354.142307692</v>
      </c>
      <c r="J18" s="11" t="n">
        <f aca="false">IFERROR(G18/E18,0)</f>
        <v>6380.78461538462</v>
      </c>
      <c r="K18" s="16" t="n">
        <f aca="false">IFERROR(G18/SUM(Data!$E$2:$E$38),0)</f>
        <v>0.00272448522133681</v>
      </c>
    </row>
    <row r="19" customFormat="false" ht="15" hidden="false" customHeight="false" outlineLevel="0" collapsed="false">
      <c r="B19" s="9" t="n">
        <v>15</v>
      </c>
      <c r="C19" s="14" t="s">
        <v>53</v>
      </c>
      <c r="D19" s="9" t="s">
        <v>38</v>
      </c>
      <c r="E19" s="10" t="n">
        <f aca="false">SUMIFS(Data!$C$2:$C$38,Data!$A$2:$A$38,$C19)</f>
        <v>25</v>
      </c>
      <c r="F19" s="10" t="n">
        <f aca="false">SUMIFS(Data!$D$2:$D$38,Data!$A$2:$A$38,$C19)</f>
        <v>5057070</v>
      </c>
      <c r="G19" s="10" t="n">
        <f aca="false">SUMIFS(Data!$E$2:$E$38,Data!$A$2:$A$38,$C19)</f>
        <v>162410</v>
      </c>
      <c r="H19" s="15" t="n">
        <f aca="false">IFERROR(G19/F19,0)</f>
        <v>0.0321154344314</v>
      </c>
      <c r="I19" s="10" t="n">
        <f aca="false">IFERROR(F19/E19,0)</f>
        <v>202282.8</v>
      </c>
      <c r="J19" s="11" t="n">
        <f aca="false">IFERROR(G19/E19,0)</f>
        <v>6496.4</v>
      </c>
      <c r="K19" s="16" t="n">
        <f aca="false">IFERROR(G19/SUM(Data!$E$2:$E$38),0)</f>
        <v>0.00266716442393937</v>
      </c>
    </row>
    <row r="20" customFormat="false" ht="15" hidden="false" customHeight="false" outlineLevel="0" collapsed="false">
      <c r="B20" s="9" t="n">
        <v>16</v>
      </c>
      <c r="C20" s="14" t="s">
        <v>54</v>
      </c>
      <c r="D20" s="9" t="s">
        <v>38</v>
      </c>
      <c r="E20" s="10" t="n">
        <f aca="false">SUMIFS(Data!$C$2:$C$38,Data!$A$2:$A$38,$C20)</f>
        <v>58</v>
      </c>
      <c r="F20" s="10" t="n">
        <f aca="false">SUMIFS(Data!$D$2:$D$38,Data!$A$2:$A$38,$C20)</f>
        <v>5037200</v>
      </c>
      <c r="G20" s="10" t="n">
        <f aca="false">SUMIFS(Data!$E$2:$E$38,Data!$A$2:$A$38,$C20)</f>
        <v>160450</v>
      </c>
      <c r="H20" s="15" t="n">
        <f aca="false">IFERROR(G20/F20,0)</f>
        <v>0.0318530135789724</v>
      </c>
      <c r="I20" s="10" t="n">
        <f aca="false">IFERROR(F20/E20,0)</f>
        <v>86848.275862069</v>
      </c>
      <c r="J20" s="11" t="n">
        <f aca="false">IFERROR(G20/E20,0)</f>
        <v>2766.37931034483</v>
      </c>
      <c r="K20" s="16" t="n">
        <f aca="false">IFERROR(G20/SUM(Data!$E$2:$E$38),0)</f>
        <v>0.00263497649049364</v>
      </c>
    </row>
    <row r="21" customFormat="false" ht="15" hidden="false" customHeight="false" outlineLevel="0" collapsed="false">
      <c r="B21" s="9" t="n">
        <v>17</v>
      </c>
      <c r="C21" s="14" t="s">
        <v>55</v>
      </c>
      <c r="D21" s="9" t="s">
        <v>38</v>
      </c>
      <c r="E21" s="10" t="n">
        <f aca="false">SUMIFS(Data!$C$2:$C$38,Data!$A$2:$A$38,$C21)</f>
        <v>19</v>
      </c>
      <c r="F21" s="10" t="n">
        <f aca="false">SUMIFS(Data!$D$2:$D$38,Data!$A$2:$A$38,$C21)</f>
        <v>5384094</v>
      </c>
      <c r="G21" s="10" t="n">
        <f aca="false">SUMIFS(Data!$E$2:$E$38,Data!$A$2:$A$38,$C21)</f>
        <v>159724</v>
      </c>
      <c r="H21" s="15" t="n">
        <f aca="false">IFERROR(G21/F21,0)</f>
        <v>0.0296659010782501</v>
      </c>
      <c r="I21" s="10" t="n">
        <f aca="false">IFERROR(F21/E21,0)</f>
        <v>283373.368421053</v>
      </c>
      <c r="J21" s="11" t="n">
        <f aca="false">IFERROR(G21/E21,0)</f>
        <v>8406.52631578947</v>
      </c>
      <c r="K21" s="16" t="n">
        <f aca="false">IFERROR(G21/SUM(Data!$E$2:$E$38),0)</f>
        <v>0.0026230538171867</v>
      </c>
    </row>
    <row r="22" customFormat="false" ht="15" hidden="false" customHeight="false" outlineLevel="0" collapsed="false">
      <c r="B22" s="9" t="n">
        <v>18</v>
      </c>
      <c r="C22" s="14" t="s">
        <v>56</v>
      </c>
      <c r="D22" s="9" t="s">
        <v>38</v>
      </c>
      <c r="E22" s="10" t="n">
        <f aca="false">SUMIFS(Data!$C$2:$C$38,Data!$A$2:$A$38,$C22)</f>
        <v>8</v>
      </c>
      <c r="F22" s="10" t="n">
        <f aca="false">SUMIFS(Data!$D$2:$D$38,Data!$A$2:$A$38,$C22)</f>
        <v>2661350</v>
      </c>
      <c r="G22" s="10" t="n">
        <f aca="false">SUMIFS(Data!$E$2:$E$38,Data!$A$2:$A$38,$C22)</f>
        <v>110950</v>
      </c>
      <c r="H22" s="15" t="n">
        <f aca="false">IFERROR(G22/F22,0)</f>
        <v>0.0416893681778045</v>
      </c>
      <c r="I22" s="10" t="n">
        <f aca="false">IFERROR(F22/E22,0)</f>
        <v>332668.75</v>
      </c>
      <c r="J22" s="11" t="n">
        <f aca="false">IFERROR(G22/E22,0)</f>
        <v>13868.75</v>
      </c>
      <c r="K22" s="16" t="n">
        <f aca="false">IFERROR(G22/SUM(Data!$E$2:$E$38),0)</f>
        <v>0.0018220669468387</v>
      </c>
    </row>
    <row r="23" customFormat="false" ht="15" hidden="false" customHeight="false" outlineLevel="0" collapsed="false">
      <c r="B23" s="9" t="n">
        <v>19</v>
      </c>
      <c r="C23" s="14" t="s">
        <v>57</v>
      </c>
      <c r="D23" s="9" t="s">
        <v>38</v>
      </c>
      <c r="E23" s="10" t="n">
        <f aca="false">SUMIFS(Data!$C$2:$C$38,Data!$A$2:$A$38,$C23)</f>
        <v>11</v>
      </c>
      <c r="F23" s="10" t="n">
        <f aca="false">SUMIFS(Data!$D$2:$D$38,Data!$A$2:$A$38,$C23)</f>
        <v>2768950</v>
      </c>
      <c r="G23" s="10" t="n">
        <f aca="false">SUMIFS(Data!$E$2:$E$38,Data!$A$2:$A$38,$C23)</f>
        <v>77950</v>
      </c>
      <c r="H23" s="15" t="n">
        <f aca="false">IFERROR(G23/F23,0)</f>
        <v>0.0281514653569042</v>
      </c>
      <c r="I23" s="10" t="n">
        <f aca="false">IFERROR(F23/E23,0)</f>
        <v>251722.727272727</v>
      </c>
      <c r="J23" s="11" t="n">
        <f aca="false">IFERROR(G23/E23,0)</f>
        <v>7086.36363636364</v>
      </c>
      <c r="K23" s="16" t="n">
        <f aca="false">IFERROR(G23/SUM(Data!$E$2:$E$38),0)</f>
        <v>0.00128012725106874</v>
      </c>
    </row>
    <row r="24" customFormat="false" ht="15" hidden="false" customHeight="false" outlineLevel="0" collapsed="false">
      <c r="B24" s="9" t="n">
        <v>20</v>
      </c>
      <c r="C24" s="14" t="s">
        <v>58</v>
      </c>
      <c r="D24" s="9" t="s">
        <v>40</v>
      </c>
      <c r="E24" s="10" t="n">
        <f aca="false">SUMIFS(Data!$C$2:$C$38,Data!$A$2:$A$38,$C24)</f>
        <v>23</v>
      </c>
      <c r="F24" s="10" t="n">
        <f aca="false">SUMIFS(Data!$D$2:$D$38,Data!$A$2:$A$38,$C24)</f>
        <v>8621492.44</v>
      </c>
      <c r="G24" s="10" t="n">
        <f aca="false">SUMIFS(Data!$E$2:$E$38,Data!$A$2:$A$38,$C24)</f>
        <v>62312.6399999999</v>
      </c>
      <c r="H24" s="15" t="n">
        <f aca="false">IFERROR(G24/F24,0)</f>
        <v>0.00722759318455077</v>
      </c>
      <c r="I24" s="10" t="n">
        <f aca="false">IFERROR(F24/E24,0)</f>
        <v>374847.497391304</v>
      </c>
      <c r="J24" s="11" t="n">
        <f aca="false">IFERROR(G24/E24,0)</f>
        <v>2709.2452173913</v>
      </c>
      <c r="K24" s="16" t="n">
        <f aca="false">IFERROR(G24/SUM(Data!$E$2:$E$38),0)</f>
        <v>0.00102332403527948</v>
      </c>
    </row>
    <row r="25" customFormat="false" ht="15" hidden="false" customHeight="false" outlineLevel="0" collapsed="false">
      <c r="B25" s="9" t="n">
        <v>21</v>
      </c>
      <c r="C25" s="14" t="s">
        <v>59</v>
      </c>
      <c r="D25" s="9" t="s">
        <v>38</v>
      </c>
      <c r="E25" s="10" t="n">
        <f aca="false">SUMIFS(Data!$C$2:$C$38,Data!$A$2:$A$38,$C25)</f>
        <v>3</v>
      </c>
      <c r="F25" s="10" t="n">
        <f aca="false">SUMIFS(Data!$D$2:$D$38,Data!$A$2:$A$38,$C25)</f>
        <v>1900750</v>
      </c>
      <c r="G25" s="10" t="n">
        <f aca="false">SUMIFS(Data!$E$2:$E$38,Data!$A$2:$A$38,$C25)</f>
        <v>59950</v>
      </c>
      <c r="H25" s="15" t="n">
        <f aca="false">IFERROR(G25/F25,0)</f>
        <v>0.0315401815072998</v>
      </c>
      <c r="I25" s="10" t="n">
        <f aca="false">IFERROR(F25/E25,0)</f>
        <v>633583.333333333</v>
      </c>
      <c r="J25" s="11" t="n">
        <f aca="false">IFERROR(G25/E25,0)</f>
        <v>19983.3333333333</v>
      </c>
      <c r="K25" s="16" t="n">
        <f aca="false">IFERROR(G25/SUM(Data!$E$2:$E$38),0)</f>
        <v>0.00098452378064876</v>
      </c>
    </row>
    <row r="26" customFormat="false" ht="15" hidden="false" customHeight="false" outlineLevel="0" collapsed="false">
      <c r="B26" s="9" t="n">
        <v>22</v>
      </c>
      <c r="C26" s="14" t="s">
        <v>60</v>
      </c>
      <c r="D26" s="9" t="s">
        <v>38</v>
      </c>
      <c r="E26" s="10" t="n">
        <f aca="false">SUMIFS(Data!$C$2:$C$38,Data!$A$2:$A$38,$C26)</f>
        <v>8</v>
      </c>
      <c r="F26" s="10" t="n">
        <f aca="false">SUMIFS(Data!$D$2:$D$38,Data!$A$2:$A$38,$C26)</f>
        <v>782955</v>
      </c>
      <c r="G26" s="10" t="n">
        <f aca="false">SUMIFS(Data!$E$2:$E$38,Data!$A$2:$A$38,$C26)</f>
        <v>47180</v>
      </c>
      <c r="H26" s="15" t="n">
        <f aca="false">IFERROR(G26/F26,0)</f>
        <v>0.0602588909962897</v>
      </c>
      <c r="I26" s="10" t="n">
        <f aca="false">IFERROR(F26/E26,0)</f>
        <v>97869.375</v>
      </c>
      <c r="J26" s="11" t="n">
        <f aca="false">IFERROR(G26/E26,0)</f>
        <v>5897.5</v>
      </c>
      <c r="K26" s="16" t="n">
        <f aca="false">IFERROR(G26/SUM(Data!$E$2:$E$38),0)</f>
        <v>0.000774809540800809</v>
      </c>
    </row>
    <row r="27" customFormat="false" ht="15" hidden="false" customHeight="false" outlineLevel="0" collapsed="false">
      <c r="B27" s="9" t="n">
        <v>23</v>
      </c>
      <c r="C27" s="14" t="s">
        <v>61</v>
      </c>
      <c r="D27" s="9" t="s">
        <v>38</v>
      </c>
      <c r="E27" s="10" t="n">
        <f aca="false">SUMIFS(Data!$C$2:$C$38,Data!$A$2:$A$38,$C27)</f>
        <v>14</v>
      </c>
      <c r="F27" s="10" t="n">
        <f aca="false">SUMIFS(Data!$D$2:$D$38,Data!$A$2:$A$38,$C27)</f>
        <v>1055875</v>
      </c>
      <c r="G27" s="10" t="n">
        <f aca="false">SUMIFS(Data!$E$2:$E$38,Data!$A$2:$A$38,$C27)</f>
        <v>44875</v>
      </c>
      <c r="H27" s="15" t="n">
        <f aca="false">IFERROR(G27/F27,0)</f>
        <v>0.0425002959630638</v>
      </c>
      <c r="I27" s="10" t="n">
        <f aca="false">IFERROR(F27/E27,0)</f>
        <v>75419.6428571429</v>
      </c>
      <c r="J27" s="11" t="n">
        <f aca="false">IFERROR(G27/E27,0)</f>
        <v>3205.35714285714</v>
      </c>
      <c r="K27" s="16" t="n">
        <f aca="false">IFERROR(G27/SUM(Data!$E$2:$E$38),0)</f>
        <v>0.000736955874172029</v>
      </c>
    </row>
    <row r="28" customFormat="false" ht="15" hidden="false" customHeight="false" outlineLevel="0" collapsed="false">
      <c r="B28" s="9" t="n">
        <v>24</v>
      </c>
      <c r="C28" s="14" t="s">
        <v>62</v>
      </c>
      <c r="D28" s="9" t="s">
        <v>38</v>
      </c>
      <c r="E28" s="10" t="n">
        <f aca="false">SUMIFS(Data!$C$2:$C$38,Data!$A$2:$A$38,$C28)</f>
        <v>8</v>
      </c>
      <c r="F28" s="10" t="n">
        <f aca="false">SUMIFS(Data!$D$2:$D$38,Data!$A$2:$A$38,$C28)</f>
        <v>966387</v>
      </c>
      <c r="G28" s="10" t="n">
        <f aca="false">SUMIFS(Data!$E$2:$E$38,Data!$A$2:$A$38,$C28)</f>
        <v>26032</v>
      </c>
      <c r="H28" s="15" t="n">
        <f aca="false">IFERROR(G28/F28,0)</f>
        <v>0.0269374484549151</v>
      </c>
      <c r="I28" s="10" t="n">
        <f aca="false">IFERROR(F28/E28,0)</f>
        <v>120798.375</v>
      </c>
      <c r="J28" s="11" t="n">
        <f aca="false">IFERROR(G28/E28,0)</f>
        <v>3254</v>
      </c>
      <c r="K28" s="16" t="n">
        <f aca="false">IFERROR(G28/SUM(Data!$E$2:$E$38),0)</f>
        <v>0.000427508307887382</v>
      </c>
    </row>
    <row r="29" customFormat="false" ht="15" hidden="false" customHeight="false" outlineLevel="0" collapsed="false">
      <c r="B29" s="9" t="n">
        <v>25</v>
      </c>
      <c r="C29" s="14" t="s">
        <v>63</v>
      </c>
      <c r="D29" s="9" t="s">
        <v>38</v>
      </c>
      <c r="E29" s="10" t="n">
        <f aca="false">SUMIFS(Data!$C$2:$C$38,Data!$A$2:$A$38,$C29)</f>
        <v>6</v>
      </c>
      <c r="F29" s="10" t="n">
        <f aca="false">SUMIFS(Data!$D$2:$D$38,Data!$A$2:$A$38,$C29)</f>
        <v>818975</v>
      </c>
      <c r="G29" s="10" t="n">
        <f aca="false">SUMIFS(Data!$E$2:$E$38,Data!$A$2:$A$38,$C29)</f>
        <v>22025</v>
      </c>
      <c r="H29" s="15" t="n">
        <f aca="false">IFERROR(G29/F29,0)</f>
        <v>0.0268933728135779</v>
      </c>
      <c r="I29" s="10" t="n">
        <f aca="false">IFERROR(F29/E29,0)</f>
        <v>136495.833333333</v>
      </c>
      <c r="J29" s="11" t="n">
        <f aca="false">IFERROR(G29/E29,0)</f>
        <v>3670.83333333333</v>
      </c>
      <c r="K29" s="16" t="n">
        <f aca="false">IFERROR(G29/SUM(Data!$E$2:$E$38),0)</f>
        <v>0.00036170369088889</v>
      </c>
    </row>
    <row r="30" customFormat="false" ht="15" hidden="false" customHeight="false" outlineLevel="0" collapsed="false">
      <c r="B30" s="9" t="n">
        <v>26</v>
      </c>
      <c r="C30" s="14" t="s">
        <v>64</v>
      </c>
      <c r="D30" s="9" t="s">
        <v>38</v>
      </c>
      <c r="E30" s="10" t="n">
        <f aca="false">SUMIFS(Data!$C$2:$C$38,Data!$A$2:$A$38,$C30)</f>
        <v>1</v>
      </c>
      <c r="F30" s="10" t="n">
        <f aca="false">SUMIFS(Data!$D$2:$D$38,Data!$A$2:$A$38,$C30)</f>
        <v>538000</v>
      </c>
      <c r="G30" s="10" t="n">
        <f aca="false">SUMIFS(Data!$E$2:$E$38,Data!$A$2:$A$38,$C30)</f>
        <v>15000</v>
      </c>
      <c r="H30" s="15" t="n">
        <f aca="false">IFERROR(G30/F30,0)</f>
        <v>0.0278810408921933</v>
      </c>
      <c r="I30" s="10" t="n">
        <f aca="false">IFERROR(F30/E30,0)</f>
        <v>538000</v>
      </c>
      <c r="J30" s="11" t="n">
        <f aca="false">IFERROR(G30/E30,0)</f>
        <v>15000</v>
      </c>
      <c r="K30" s="16" t="n">
        <f aca="false">IFERROR(G30/SUM(Data!$E$2:$E$38),0)</f>
        <v>0.000246336225349982</v>
      </c>
    </row>
    <row r="31" customFormat="false" ht="15" hidden="false" customHeight="false" outlineLevel="0" collapsed="false">
      <c r="B31" s="9" t="n">
        <v>27</v>
      </c>
      <c r="C31" s="14" t="s">
        <v>65</v>
      </c>
      <c r="D31" s="9" t="s">
        <v>40</v>
      </c>
      <c r="E31" s="10" t="n">
        <f aca="false">SUMIFS(Data!$C$2:$C$38,Data!$A$2:$A$38,$C31)</f>
        <v>4</v>
      </c>
      <c r="F31" s="10" t="n">
        <f aca="false">SUMIFS(Data!$D$2:$D$38,Data!$A$2:$A$38,$C31)</f>
        <v>1298115.12</v>
      </c>
      <c r="G31" s="10" t="n">
        <f aca="false">SUMIFS(Data!$E$2:$E$38,Data!$A$2:$A$38,$C31)</f>
        <v>9489.31999999998</v>
      </c>
      <c r="H31" s="15" t="n">
        <f aca="false">IFERROR(G31/F31,0)</f>
        <v>0.0073100758582952</v>
      </c>
      <c r="I31" s="10" t="n">
        <f aca="false">IFERROR(F31/E31,0)</f>
        <v>324528.78</v>
      </c>
      <c r="J31" s="11" t="n">
        <f aca="false">IFERROR(G31/E31,0)</f>
        <v>2372.33</v>
      </c>
      <c r="K31" s="16" t="n">
        <f aca="false">IFERROR(G31/SUM(Data!$E$2:$E$38),0)</f>
        <v>0.000155837551329206</v>
      </c>
    </row>
    <row r="32" customFormat="false" ht="15" hidden="false" customHeight="false" outlineLevel="0" collapsed="false">
      <c r="B32" s="9" t="n">
        <v>28</v>
      </c>
      <c r="C32" s="14" t="s">
        <v>66</v>
      </c>
      <c r="D32" s="9" t="s">
        <v>38</v>
      </c>
      <c r="E32" s="10" t="n">
        <f aca="false">SUMIFS(Data!$C$2:$C$38,Data!$A$2:$A$38,$C32)</f>
        <v>1</v>
      </c>
      <c r="F32" s="10" t="n">
        <f aca="false">SUMIFS(Data!$D$2:$D$38,Data!$A$2:$A$38,$C32)</f>
        <v>116600</v>
      </c>
      <c r="G32" s="10" t="n">
        <f aca="false">SUMIFS(Data!$E$2:$E$38,Data!$A$2:$A$38,$C32)</f>
        <v>6000</v>
      </c>
      <c r="H32" s="15" t="n">
        <f aca="false">IFERROR(G32/F32,0)</f>
        <v>0.0514579759862779</v>
      </c>
      <c r="I32" s="10" t="n">
        <f aca="false">IFERROR(F32/E32,0)</f>
        <v>116600</v>
      </c>
      <c r="J32" s="11" t="n">
        <f aca="false">IFERROR(G32/E32,0)</f>
        <v>6000</v>
      </c>
      <c r="K32" s="16" t="n">
        <f aca="false">IFERROR(G32/SUM(Data!$E$2:$E$38),0)</f>
        <v>9.85344901399927E-005</v>
      </c>
    </row>
    <row r="33" customFormat="false" ht="15" hidden="false" customHeight="false" outlineLevel="0" collapsed="false">
      <c r="B33" s="9" t="n">
        <v>29</v>
      </c>
      <c r="C33" s="14" t="s">
        <v>67</v>
      </c>
      <c r="D33" s="9" t="s">
        <v>38</v>
      </c>
      <c r="E33" s="10" t="n">
        <f aca="false">SUMIFS(Data!$C$2:$C$38,Data!$A$2:$A$38,$C33)</f>
        <v>2</v>
      </c>
      <c r="F33" s="10" t="n">
        <f aca="false">SUMIFS(Data!$D$2:$D$38,Data!$A$2:$A$38,$C33)</f>
        <v>141400</v>
      </c>
      <c r="G33" s="10" t="n">
        <f aca="false">SUMIFS(Data!$E$2:$E$38,Data!$A$2:$A$38,$C33)</f>
        <v>6000</v>
      </c>
      <c r="H33" s="15" t="n">
        <f aca="false">IFERROR(G33/F33,0)</f>
        <v>0.0424328147100424</v>
      </c>
      <c r="I33" s="10" t="n">
        <f aca="false">IFERROR(F33/E33,0)</f>
        <v>70700</v>
      </c>
      <c r="J33" s="11" t="n">
        <f aca="false">IFERROR(G33/E33,0)</f>
        <v>3000</v>
      </c>
      <c r="K33" s="16" t="n">
        <f aca="false">IFERROR(G33/SUM(Data!$E$2:$E$38),0)</f>
        <v>9.85344901399927E-005</v>
      </c>
    </row>
    <row r="34" customFormat="false" ht="15" hidden="false" customHeight="false" outlineLevel="0" collapsed="false">
      <c r="B34" s="9" t="n">
        <v>30</v>
      </c>
      <c r="C34" s="14" t="s">
        <v>68</v>
      </c>
      <c r="D34" s="9" t="s">
        <v>38</v>
      </c>
      <c r="E34" s="10" t="n">
        <f aca="false">SUMIFS(Data!$C$2:$C$38,Data!$A$2:$A$38,$C34)</f>
        <v>4</v>
      </c>
      <c r="F34" s="10" t="n">
        <f aca="false">SUMIFS(Data!$D$2:$D$38,Data!$A$2:$A$38,$C34)</f>
        <v>281775</v>
      </c>
      <c r="G34" s="10" t="n">
        <f aca="false">SUMIFS(Data!$E$2:$E$38,Data!$A$2:$A$38,$C34)</f>
        <v>5225</v>
      </c>
      <c r="H34" s="15" t="n">
        <f aca="false">IFERROR(G34/F34,0)</f>
        <v>0.0185431638718836</v>
      </c>
      <c r="I34" s="10" t="n">
        <f aca="false">IFERROR(F34/E34,0)</f>
        <v>70443.75</v>
      </c>
      <c r="J34" s="11" t="n">
        <f aca="false">IFERROR(G34/E34,0)</f>
        <v>1306.25</v>
      </c>
      <c r="K34" s="16" t="n">
        <f aca="false">IFERROR(G34/SUM(Data!$E$2:$E$38),0)</f>
        <v>8.58071184969103E-005</v>
      </c>
    </row>
    <row r="35" customFormat="false" ht="15" hidden="false" customHeight="false" outlineLevel="0" collapsed="false">
      <c r="B35" s="9" t="n">
        <v>31</v>
      </c>
      <c r="C35" s="14" t="s">
        <v>69</v>
      </c>
      <c r="D35" s="9" t="s">
        <v>38</v>
      </c>
      <c r="E35" s="10" t="n">
        <f aca="false">SUMIFS(Data!$C$2:$C$38,Data!$A$2:$A$38,$C35)</f>
        <v>2</v>
      </c>
      <c r="F35" s="10" t="n">
        <f aca="false">SUMIFS(Data!$D$2:$D$38,Data!$A$2:$A$38,$C35)</f>
        <v>56875</v>
      </c>
      <c r="G35" s="10" t="n">
        <f aca="false">SUMIFS(Data!$E$2:$E$38,Data!$A$2:$A$38,$C35)</f>
        <v>3725</v>
      </c>
      <c r="H35" s="15" t="n">
        <f aca="false">IFERROR(G35/F35,0)</f>
        <v>0.0654945054945055</v>
      </c>
      <c r="I35" s="10" t="n">
        <f aca="false">IFERROR(F35/E35,0)</f>
        <v>28437.5</v>
      </c>
      <c r="J35" s="11" t="n">
        <f aca="false">IFERROR(G35/E35,0)</f>
        <v>1862.5</v>
      </c>
      <c r="K35" s="16" t="n">
        <f aca="false">IFERROR(G35/SUM(Data!$E$2:$E$38),0)</f>
        <v>6.11734959619121E-005</v>
      </c>
    </row>
    <row r="36" customFormat="false" ht="15" hidden="false" customHeight="false" outlineLevel="0" collapsed="false">
      <c r="B36" s="9" t="n">
        <v>32</v>
      </c>
      <c r="C36" s="14" t="s">
        <v>70</v>
      </c>
      <c r="D36" s="9" t="s">
        <v>40</v>
      </c>
      <c r="E36" s="10" t="n">
        <f aca="false">SUMIFS(Data!$C$2:$C$38,Data!$A$2:$A$38,$C36)</f>
        <v>7</v>
      </c>
      <c r="F36" s="10" t="n">
        <f aca="false">SUMIFS(Data!$D$2:$D$38,Data!$A$2:$A$38,$C36)</f>
        <v>415569.25</v>
      </c>
      <c r="G36" s="10" t="n">
        <f aca="false">SUMIFS(Data!$E$2:$E$38,Data!$A$2:$A$38,$C36)</f>
        <v>3005.75</v>
      </c>
      <c r="H36" s="15" t="n">
        <f aca="false">IFERROR(G36/F36,0)</f>
        <v>0.00723284988001398</v>
      </c>
      <c r="I36" s="10" t="n">
        <f aca="false">IFERROR(F36/E36,0)</f>
        <v>59367.0357142857</v>
      </c>
      <c r="J36" s="11" t="n">
        <f aca="false">IFERROR(G36/E36,0)</f>
        <v>429.392857142857</v>
      </c>
      <c r="K36" s="16" t="n">
        <f aca="false">IFERROR(G36/SUM(Data!$E$2:$E$38),0)</f>
        <v>4.93616739563805E-005</v>
      </c>
    </row>
    <row r="37" customFormat="false" ht="15" hidden="false" customHeight="false" outlineLevel="0" collapsed="false">
      <c r="B37" s="9" t="n">
        <v>33</v>
      </c>
      <c r="C37" s="14" t="s">
        <v>71</v>
      </c>
      <c r="D37" s="9" t="s">
        <v>38</v>
      </c>
      <c r="E37" s="10" t="n">
        <f aca="false">SUMIFS(Data!$C$2:$C$38,Data!$A$2:$A$38,$C37)</f>
        <v>2</v>
      </c>
      <c r="F37" s="10" t="n">
        <f aca="false">SUMIFS(Data!$D$2:$D$38,Data!$A$2:$A$38,$C37)</f>
        <v>123800</v>
      </c>
      <c r="G37" s="10" t="n">
        <f aca="false">SUMIFS(Data!$E$2:$E$38,Data!$A$2:$A$38,$C37)</f>
        <v>3000</v>
      </c>
      <c r="H37" s="15" t="n">
        <f aca="false">IFERROR(G37/F37,0)</f>
        <v>0.024232633279483</v>
      </c>
      <c r="I37" s="10" t="n">
        <f aca="false">IFERROR(F37/E37,0)</f>
        <v>61900</v>
      </c>
      <c r="J37" s="11" t="n">
        <f aca="false">IFERROR(G37/E37,0)</f>
        <v>1500</v>
      </c>
      <c r="K37" s="16" t="n">
        <f aca="false">IFERROR(G37/SUM(Data!$E$2:$E$38),0)</f>
        <v>4.92672450699963E-005</v>
      </c>
    </row>
    <row r="38" customFormat="false" ht="15" hidden="false" customHeight="false" outlineLevel="0" collapsed="false">
      <c r="B38" s="9" t="n">
        <v>34</v>
      </c>
      <c r="C38" s="14" t="s">
        <v>45</v>
      </c>
      <c r="D38" s="9" t="s">
        <v>38</v>
      </c>
      <c r="E38" s="10" t="n">
        <f aca="false">SUMIFS(Data!$C$2:$C$38,Data!$A$2:$A$38,$C38)</f>
        <v>113</v>
      </c>
      <c r="F38" s="10" t="n">
        <f aca="false">SUMIFS(Data!$D$2:$D$38,Data!$A$2:$A$38,$C38)</f>
        <v>72934057.94</v>
      </c>
      <c r="G38" s="10" t="n">
        <f aca="false">SUMIFS(Data!$E$2:$E$38,Data!$A$2:$A$38,$C38)</f>
        <v>529589.34</v>
      </c>
      <c r="H38" s="15" t="n">
        <f aca="false">IFERROR(G38/F38,0)</f>
        <v>0.0072612076574112</v>
      </c>
      <c r="I38" s="10" t="n">
        <f aca="false">IFERROR(F38/E38,0)</f>
        <v>645434.141061947</v>
      </c>
      <c r="J38" s="11" t="n">
        <f aca="false">IFERROR(G38/E38,0)</f>
        <v>4686.63132743363</v>
      </c>
      <c r="K38" s="16" t="n">
        <f aca="false">IFERROR(G38/SUM(Data!$E$2:$E$38),0)</f>
        <v>0.00869713593341254</v>
      </c>
    </row>
    <row r="39" customFormat="false" ht="15" hidden="false" customHeight="false" outlineLevel="0" collapsed="false">
      <c r="B39" s="9" t="n">
        <v>35</v>
      </c>
      <c r="C39" s="14" t="s">
        <v>62</v>
      </c>
      <c r="D39" s="9" t="s">
        <v>40</v>
      </c>
      <c r="E39" s="10" t="n">
        <f aca="false">SUMIFS(Data!$C$2:$C$38,Data!$A$2:$A$38,$C39)</f>
        <v>8</v>
      </c>
      <c r="F39" s="10" t="n">
        <f aca="false">SUMIFS(Data!$D$2:$D$38,Data!$A$2:$A$38,$C39)</f>
        <v>966387</v>
      </c>
      <c r="G39" s="10" t="n">
        <f aca="false">SUMIFS(Data!$E$2:$E$38,Data!$A$2:$A$38,$C39)</f>
        <v>26032</v>
      </c>
      <c r="H39" s="15" t="n">
        <f aca="false">IFERROR(G39/F39,0)</f>
        <v>0.0269374484549151</v>
      </c>
      <c r="I39" s="10" t="n">
        <f aca="false">IFERROR(F39/E39,0)</f>
        <v>120798.375</v>
      </c>
      <c r="J39" s="11" t="n">
        <f aca="false">IFERROR(G39/E39,0)</f>
        <v>3254</v>
      </c>
      <c r="K39" s="16" t="n">
        <f aca="false">IFERROR(G39/SUM(Data!$E$2:$E$38),0)</f>
        <v>0.000427508307887382</v>
      </c>
    </row>
    <row r="40" customFormat="false" ht="15" hidden="false" customHeight="false" outlineLevel="0" collapsed="false">
      <c r="B40" s="9" t="n">
        <v>36</v>
      </c>
      <c r="C40" s="14" t="s">
        <v>72</v>
      </c>
      <c r="D40" s="9" t="s">
        <v>38</v>
      </c>
      <c r="E40" s="10" t="n">
        <f aca="false">SUMIFS(Data!$C$2:$C$38,Data!$A$2:$A$38,$C40)</f>
        <v>1</v>
      </c>
      <c r="F40" s="10" t="n">
        <f aca="false">SUMIFS(Data!$D$2:$D$38,Data!$A$2:$A$38,$C40)</f>
        <v>0</v>
      </c>
      <c r="G40" s="10" t="n">
        <f aca="false">SUMIFS(Data!$E$2:$E$38,Data!$A$2:$A$38,$C40)</f>
        <v>0</v>
      </c>
      <c r="H40" s="15" t="n">
        <f aca="false">IFERROR(G40/F40,0)</f>
        <v>0</v>
      </c>
      <c r="I40" s="10" t="n">
        <f aca="false">IFERROR(F40/E40,0)</f>
        <v>0</v>
      </c>
      <c r="J40" s="11" t="n">
        <f aca="false">IFERROR(G40/E40,0)</f>
        <v>0</v>
      </c>
      <c r="K40" s="16" t="n">
        <f aca="false">IFERROR(G40/SUM(Data!$E$2:$E$38),0)</f>
        <v>0</v>
      </c>
    </row>
    <row r="41" customFormat="false" ht="15" hidden="false" customHeight="false" outlineLevel="0" collapsed="false">
      <c r="B41" s="9" t="n">
        <v>37</v>
      </c>
      <c r="C41" s="14" t="s">
        <v>61</v>
      </c>
      <c r="D41" s="9" t="s">
        <v>40</v>
      </c>
      <c r="E41" s="10" t="n">
        <f aca="false">SUMIFS(Data!$C$2:$C$38,Data!$A$2:$A$38,$C41)</f>
        <v>14</v>
      </c>
      <c r="F41" s="10" t="n">
        <f aca="false">SUMIFS(Data!$D$2:$D$38,Data!$A$2:$A$38,$C41)</f>
        <v>1055875</v>
      </c>
      <c r="G41" s="10" t="n">
        <f aca="false">SUMIFS(Data!$E$2:$E$38,Data!$A$2:$A$38,$C41)</f>
        <v>44875</v>
      </c>
      <c r="H41" s="15" t="n">
        <f aca="false">IFERROR(G41/F41,0)</f>
        <v>0.0425002959630638</v>
      </c>
      <c r="I41" s="10" t="n">
        <f aca="false">IFERROR(F41/E41,0)</f>
        <v>75419.6428571429</v>
      </c>
      <c r="J41" s="11" t="n">
        <f aca="false">IFERROR(G41/E41,0)</f>
        <v>3205.35714285714</v>
      </c>
      <c r="K41" s="16" t="n">
        <f aca="false">IFERROR(G41/SUM(Data!$E$2:$E$38),0)</f>
        <v>0.000736955874172029</v>
      </c>
    </row>
    <row r="42" customFormat="false" ht="15" hidden="false" customHeight="false" outlineLevel="0" collapsed="false">
      <c r="B42" s="17"/>
      <c r="C42" s="18" t="s">
        <v>80</v>
      </c>
      <c r="D42" s="17"/>
      <c r="E42" s="19" t="n">
        <f aca="false">SUM(E5:E41)</f>
        <v>14585</v>
      </c>
      <c r="F42" s="19" t="n">
        <f aca="false">SUM(F5:F41)</f>
        <v>3642452061.4029</v>
      </c>
      <c r="G42" s="19" t="n">
        <f aca="false">SUM(G5:G41)</f>
        <v>61492880.2299</v>
      </c>
      <c r="H42" s="20" t="n">
        <f aca="false">IFERROR(G42/F42,0)</f>
        <v>0.016882275783807</v>
      </c>
      <c r="I42" s="19" t="n">
        <f aca="false">IFERROR(F42/E42,0)</f>
        <v>249739.599684806</v>
      </c>
      <c r="J42" s="21" t="n">
        <f aca="false">IFERROR(G42/E42,0)</f>
        <v>4216.17279601645</v>
      </c>
      <c r="K42" s="22" t="n">
        <f aca="false">SUM(K5:K41)</f>
        <v>1.00986160011547</v>
      </c>
    </row>
  </sheetData>
  <conditionalFormatting sqref="H5:H41">
    <cfRule type="dataBar" priority="2">
      <dataBar showValue="1" minLength="10" maxLength="90">
        <cfvo type="min" val="0"/>
        <cfvo type="max" val="0"/>
        <color rgb="FF3FA46A"/>
      </dataBar>
      <extLst>
        <ext xmlns:x14="http://schemas.microsoft.com/office/spreadsheetml/2009/9/main" uri="{B025F937-C7B1-47D3-B67F-A62EFF666E3E}">
          <x14:id>{2D8FA9DB-13E1-44E9-BE44-686240CBA0AC}</x14:id>
        </ext>
      </extLst>
    </cfRule>
  </conditionalFormatting>
  <conditionalFormatting sqref="K5:K41">
    <cfRule type="dataBar" priority="3">
      <dataBar showValue="1" minLength="10" maxLength="90">
        <cfvo type="num" val="0"/>
        <cfvo type="num" val="1"/>
        <color rgb="FF8A6D12"/>
      </dataBar>
      <extLst>
        <ext xmlns:x14="http://schemas.microsoft.com/office/spreadsheetml/2009/9/main" uri="{B025F937-C7B1-47D3-B67F-A62EFF666E3E}">
          <x14:id>{724B637E-5550-4058-BACF-13C9337754E3}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D8FA9DB-13E1-44E9-BE44-686240CBA0AC}">
            <x14:dataBar minLength="10" maxLength="90" axisPosition="none" gradient="true">
              <x14:cfvo type="min"/>
              <x14:cfvo type="max"/>
              <x14:negativeFillColor rgb="FF3FA46A"/>
              <x14:axisColor rgb="FF000000"/>
            </x14:dataBar>
          </x14:cfRule>
          <xm:sqref>H5:H41</xm:sqref>
        </x14:conditionalFormatting>
        <x14:conditionalFormatting xmlns:xm="http://schemas.microsoft.com/office/excel/2006/main">
          <x14:cfRule type="dataBar" id="{724B637E-5550-4058-BACF-13C9337754E3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8A6D12"/>
              <x14:axisColor rgb="FF000000"/>
            </x14:dataBar>
          </x14:cfRule>
          <xm:sqref>K5:K41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7"/>
    <col collapsed="false" customWidth="true" hidden="false" outlineLevel="0" max="3" min="3" style="0" width="20"/>
    <col collapsed="false" customWidth="true" hidden="false" outlineLevel="0" max="4" min="4" style="0" width="18"/>
    <col collapsed="false" customWidth="true" hidden="false" outlineLevel="0" max="5" min="5" style="0" width="13"/>
    <col collapsed="false" customWidth="true" hidden="false" outlineLevel="0" max="6" min="6" style="0" width="14"/>
    <col collapsed="false" customWidth="true" hidden="false" outlineLevel="0" max="7" min="7" style="0" width="13"/>
  </cols>
  <sheetData>
    <row r="1" customFormat="false" ht="19.7" hidden="false" customHeight="false" outlineLevel="0" collapsed="false">
      <c r="B1" s="1" t="s">
        <v>81</v>
      </c>
    </row>
    <row r="2" customFormat="false" ht="15" hidden="false" customHeight="false" outlineLevel="0" collapsed="false">
      <c r="B2" s="12" t="s">
        <v>82</v>
      </c>
    </row>
    <row r="4" customFormat="false" ht="15" hidden="false" customHeight="false" outlineLevel="0" collapsed="false">
      <c r="B4" s="13" t="s">
        <v>75</v>
      </c>
      <c r="C4" s="13" t="s">
        <v>32</v>
      </c>
      <c r="D4" s="13" t="s">
        <v>36</v>
      </c>
      <c r="E4" s="13" t="s">
        <v>79</v>
      </c>
      <c r="F4" s="13" t="s">
        <v>83</v>
      </c>
      <c r="G4" s="13" t="s">
        <v>84</v>
      </c>
    </row>
    <row r="5" customFormat="false" ht="15" hidden="false" customHeight="false" outlineLevel="0" collapsed="false">
      <c r="B5" s="9" t="n">
        <v>1</v>
      </c>
      <c r="C5" s="14" t="s">
        <v>37</v>
      </c>
      <c r="D5" s="10" t="n">
        <f aca="false">SUMIFS(Data!$E$2:$E$38,Data!$A$2:$A$38,$C5)</f>
        <v>38268370.72</v>
      </c>
      <c r="E5" s="16" t="n">
        <f aca="false">IFERROR(D5/SUM(Data!$E$2:$E$38),0)</f>
        <v>0.628459066230571</v>
      </c>
      <c r="F5" s="16" t="n">
        <f aca="false">E5</f>
        <v>0.628459066230571</v>
      </c>
      <c r="G5" s="14" t="str">
        <f aca="false">IF(TRUE(),"Yes","")</f>
        <v>Yes</v>
      </c>
    </row>
    <row r="6" customFormat="false" ht="15" hidden="false" customHeight="false" outlineLevel="0" collapsed="false">
      <c r="B6" s="9" t="n">
        <v>2</v>
      </c>
      <c r="C6" s="14" t="s">
        <v>39</v>
      </c>
      <c r="D6" s="10" t="n">
        <f aca="false">SUMIFS(Data!$E$2:$E$38,Data!$A$2:$A$38,$C6)</f>
        <v>11223529.81</v>
      </c>
      <c r="E6" s="16" t="n">
        <f aca="false">IFERROR(D6/SUM(Data!$E$2:$E$38),0)</f>
        <v>0.18431746456656</v>
      </c>
      <c r="F6" s="16" t="n">
        <f aca="false">F5+E6</f>
        <v>0.81277653079713</v>
      </c>
      <c r="G6" s="14" t="str">
        <f aca="false">IF(F5&lt;0.8,"Yes","")</f>
        <v>Yes</v>
      </c>
    </row>
    <row r="7" customFormat="false" ht="15" hidden="false" customHeight="false" outlineLevel="0" collapsed="false">
      <c r="B7" s="9" t="n">
        <v>3</v>
      </c>
      <c r="C7" s="14" t="s">
        <v>41</v>
      </c>
      <c r="D7" s="10" t="n">
        <f aca="false">SUMIFS(Data!$E$2:$E$38,Data!$A$2:$A$38,$C7)</f>
        <v>4736020.65</v>
      </c>
      <c r="E7" s="16" t="n">
        <f aca="false">IFERROR(D7/SUM(Data!$E$2:$E$38),0)</f>
        <v>0.0777768966733711</v>
      </c>
      <c r="F7" s="16" t="n">
        <f aca="false">F6+E7</f>
        <v>0.890553427470502</v>
      </c>
      <c r="G7" s="14" t="str">
        <f aca="false">IF(F6&lt;0.8,"Yes","")</f>
        <v/>
      </c>
    </row>
    <row r="8" customFormat="false" ht="15" hidden="false" customHeight="false" outlineLevel="0" collapsed="false">
      <c r="B8" s="9" t="n">
        <v>4</v>
      </c>
      <c r="C8" s="14" t="s">
        <v>42</v>
      </c>
      <c r="D8" s="10" t="n">
        <f aca="false">SUMIFS(Data!$E$2:$E$38,Data!$A$2:$A$38,$C8)</f>
        <v>2059352.48</v>
      </c>
      <c r="E8" s="16" t="n">
        <f aca="false">IFERROR(D8/SUM(Data!$E$2:$E$38),0)</f>
        <v>0.0338195411058882</v>
      </c>
      <c r="F8" s="16" t="n">
        <f aca="false">F7+E8</f>
        <v>0.92437296857639</v>
      </c>
      <c r="G8" s="14" t="str">
        <f aca="false">IF(F7&lt;0.8,"Yes","")</f>
        <v/>
      </c>
    </row>
    <row r="9" customFormat="false" ht="15" hidden="false" customHeight="false" outlineLevel="0" collapsed="false">
      <c r="B9" s="9" t="n">
        <v>5</v>
      </c>
      <c r="C9" s="14" t="s">
        <v>43</v>
      </c>
      <c r="D9" s="10" t="n">
        <f aca="false">SUMIFS(Data!$E$2:$E$38,Data!$A$2:$A$38,$C9)</f>
        <v>733525</v>
      </c>
      <c r="E9" s="16" t="n">
        <f aca="false">IFERROR(D9/SUM(Data!$E$2:$E$38),0)</f>
        <v>0.0120462519799897</v>
      </c>
      <c r="F9" s="16" t="n">
        <f aca="false">F8+E9</f>
        <v>0.93641922055638</v>
      </c>
      <c r="G9" s="14" t="str">
        <f aca="false">IF(F8&lt;0.8,"Yes","")</f>
        <v/>
      </c>
    </row>
    <row r="10" customFormat="false" ht="15" hidden="false" customHeight="false" outlineLevel="0" collapsed="false">
      <c r="B10" s="9" t="n">
        <v>6</v>
      </c>
      <c r="C10" s="14" t="s">
        <v>44</v>
      </c>
      <c r="D10" s="10" t="n">
        <f aca="false">SUMIFS(Data!$E$2:$E$38,Data!$A$2:$A$38,$C10)</f>
        <v>558463.019899999</v>
      </c>
      <c r="E10" s="16" t="n">
        <f aca="false">IFERROR(D10/SUM(Data!$E$2:$E$38),0)</f>
        <v>0.00917131148798117</v>
      </c>
      <c r="F10" s="16" t="n">
        <f aca="false">F9+E10</f>
        <v>0.945590532044361</v>
      </c>
      <c r="G10" s="14" t="str">
        <f aca="false">IF(F9&lt;0.8,"Yes","")</f>
        <v/>
      </c>
    </row>
    <row r="11" customFormat="false" ht="15" hidden="false" customHeight="false" outlineLevel="0" collapsed="false">
      <c r="B11" s="9" t="n">
        <v>7</v>
      </c>
      <c r="C11" s="14" t="s">
        <v>45</v>
      </c>
      <c r="D11" s="10" t="n">
        <f aca="false">SUMIFS(Data!$E$2:$E$38,Data!$A$2:$A$38,$C11)</f>
        <v>529589.34</v>
      </c>
      <c r="E11" s="16" t="n">
        <f aca="false">IFERROR(D11/SUM(Data!$E$2:$E$38),0)</f>
        <v>0.00869713593341254</v>
      </c>
      <c r="F11" s="16" t="n">
        <f aca="false">F10+E11</f>
        <v>0.954287667977773</v>
      </c>
      <c r="G11" s="14" t="str">
        <f aca="false">IF(F10&lt;0.8,"Yes","")</f>
        <v/>
      </c>
    </row>
    <row r="12" customFormat="false" ht="15" hidden="false" customHeight="false" outlineLevel="0" collapsed="false">
      <c r="B12" s="9" t="n">
        <v>8</v>
      </c>
      <c r="C12" s="14" t="s">
        <v>46</v>
      </c>
      <c r="D12" s="10" t="n">
        <f aca="false">SUMIFS(Data!$E$2:$E$38,Data!$A$2:$A$38,$C12)</f>
        <v>426915.05</v>
      </c>
      <c r="E12" s="16" t="n">
        <f aca="false">IFERROR(D12/SUM(Data!$E$2:$E$38),0)</f>
        <v>0.00701097613080658</v>
      </c>
      <c r="F12" s="16" t="n">
        <f aca="false">F11+E12</f>
        <v>0.96129864410858</v>
      </c>
      <c r="G12" s="14" t="str">
        <f aca="false">IF(F11&lt;0.8,"Yes","")</f>
        <v/>
      </c>
    </row>
    <row r="13" customFormat="false" ht="15" hidden="false" customHeight="false" outlineLevel="0" collapsed="false">
      <c r="B13" s="9" t="n">
        <v>9</v>
      </c>
      <c r="C13" s="14" t="s">
        <v>47</v>
      </c>
      <c r="D13" s="10" t="n">
        <f aca="false">SUMIFS(Data!$E$2:$E$38,Data!$A$2:$A$38,$C13)</f>
        <v>336285.14</v>
      </c>
      <c r="E13" s="16" t="n">
        <f aca="false">IFERROR(D13/SUM(Data!$E$2:$E$38),0)</f>
        <v>0.00552261413525934</v>
      </c>
      <c r="F13" s="16" t="n">
        <f aca="false">F12+E13</f>
        <v>0.966821258243839</v>
      </c>
      <c r="G13" s="14" t="str">
        <f aca="false">IF(F12&lt;0.8,"Yes","")</f>
        <v/>
      </c>
    </row>
    <row r="14" customFormat="false" ht="15" hidden="false" customHeight="false" outlineLevel="0" collapsed="false">
      <c r="B14" s="9" t="n">
        <v>10</v>
      </c>
      <c r="C14" s="14" t="s">
        <v>48</v>
      </c>
      <c r="D14" s="10" t="n">
        <f aca="false">SUMIFS(Data!$E$2:$E$38,Data!$A$2:$A$38,$C14)</f>
        <v>281345</v>
      </c>
      <c r="E14" s="16" t="n">
        <f aca="false">IFERROR(D14/SUM(Data!$E$2:$E$38),0)</f>
        <v>0.00462036435473937</v>
      </c>
      <c r="F14" s="16" t="n">
        <f aca="false">F13+E14</f>
        <v>0.971441622598579</v>
      </c>
      <c r="G14" s="14" t="str">
        <f aca="false">IF(F13&lt;0.8,"Yes","")</f>
        <v/>
      </c>
    </row>
    <row r="15" customFormat="false" ht="15" hidden="false" customHeight="false" outlineLevel="0" collapsed="false">
      <c r="B15" s="9" t="n">
        <v>11</v>
      </c>
      <c r="C15" s="14" t="s">
        <v>49</v>
      </c>
      <c r="D15" s="10" t="n">
        <f aca="false">SUMIFS(Data!$E$2:$E$38,Data!$A$2:$A$38,$C15)</f>
        <v>226563.57</v>
      </c>
      <c r="E15" s="16" t="n">
        <f aca="false">IFERROR(D15/SUM(Data!$E$2:$E$38),0)</f>
        <v>0.00372072097570776</v>
      </c>
      <c r="F15" s="16" t="n">
        <f aca="false">F14+E15</f>
        <v>0.975162343574286</v>
      </c>
      <c r="G15" s="14" t="str">
        <f aca="false">IF(F14&lt;0.8,"Yes","")</f>
        <v/>
      </c>
    </row>
    <row r="16" customFormat="false" ht="15" hidden="false" customHeight="false" outlineLevel="0" collapsed="false">
      <c r="B16" s="9" t="n">
        <v>12</v>
      </c>
      <c r="C16" s="14" t="s">
        <v>50</v>
      </c>
      <c r="D16" s="10" t="n">
        <f aca="false">SUMIFS(Data!$E$2:$E$38,Data!$A$2:$A$38,$C16)</f>
        <v>193930</v>
      </c>
      <c r="E16" s="16" t="n">
        <f aca="false">IFERROR(D16/SUM(Data!$E$2:$E$38),0)</f>
        <v>0.0031847989454748</v>
      </c>
      <c r="F16" s="16" t="n">
        <f aca="false">F15+E16</f>
        <v>0.978347142519761</v>
      </c>
      <c r="G16" s="14" t="str">
        <f aca="false">IF(F15&lt;0.8,"Yes","")</f>
        <v/>
      </c>
    </row>
    <row r="17" customFormat="false" ht="15" hidden="false" customHeight="false" outlineLevel="0" collapsed="false">
      <c r="B17" s="9" t="n">
        <v>13</v>
      </c>
      <c r="C17" s="14" t="s">
        <v>51</v>
      </c>
      <c r="D17" s="10" t="n">
        <f aca="false">SUMIFS(Data!$E$2:$E$38,Data!$A$2:$A$38,$C17)</f>
        <v>167290</v>
      </c>
      <c r="E17" s="16" t="n">
        <f aca="false">IFERROR(D17/SUM(Data!$E$2:$E$38),0)</f>
        <v>0.00274730580925323</v>
      </c>
      <c r="F17" s="16" t="n">
        <f aca="false">F16+E17</f>
        <v>0.981094448329014</v>
      </c>
      <c r="G17" s="14" t="str">
        <f aca="false">IF(F16&lt;0.8,"Yes","")</f>
        <v/>
      </c>
    </row>
    <row r="18" customFormat="false" ht="15" hidden="false" customHeight="false" outlineLevel="0" collapsed="false">
      <c r="B18" s="9" t="n">
        <v>14</v>
      </c>
      <c r="C18" s="14" t="s">
        <v>52</v>
      </c>
      <c r="D18" s="10" t="n">
        <f aca="false">SUMIFS(Data!$E$2:$E$38,Data!$A$2:$A$38,$C18)</f>
        <v>165900.4</v>
      </c>
      <c r="E18" s="16" t="n">
        <f aca="false">IFERROR(D18/SUM(Data!$E$2:$E$38),0)</f>
        <v>0.00272448522133681</v>
      </c>
      <c r="F18" s="16" t="n">
        <f aca="false">F17+E18</f>
        <v>0.983818933550351</v>
      </c>
      <c r="G18" s="14" t="str">
        <f aca="false">IF(F17&lt;0.8,"Yes","")</f>
        <v/>
      </c>
    </row>
    <row r="19" customFormat="false" ht="15" hidden="false" customHeight="false" outlineLevel="0" collapsed="false">
      <c r="B19" s="9" t="n">
        <v>15</v>
      </c>
      <c r="C19" s="14" t="s">
        <v>53</v>
      </c>
      <c r="D19" s="10" t="n">
        <f aca="false">SUMIFS(Data!$E$2:$E$38,Data!$A$2:$A$38,$C19)</f>
        <v>162410</v>
      </c>
      <c r="E19" s="16" t="n">
        <f aca="false">IFERROR(D19/SUM(Data!$E$2:$E$38),0)</f>
        <v>0.00266716442393937</v>
      </c>
      <c r="F19" s="16" t="n">
        <f aca="false">F18+E19</f>
        <v>0.98648609797429</v>
      </c>
      <c r="G19" s="14" t="str">
        <f aca="false">IF(F18&lt;0.8,"Yes","")</f>
        <v/>
      </c>
    </row>
    <row r="20" customFormat="false" ht="15" hidden="false" customHeight="false" outlineLevel="0" collapsed="false">
      <c r="B20" s="9" t="n">
        <v>16</v>
      </c>
      <c r="C20" s="14" t="s">
        <v>54</v>
      </c>
      <c r="D20" s="10" t="n">
        <f aca="false">SUMIFS(Data!$E$2:$E$38,Data!$A$2:$A$38,$C20)</f>
        <v>160450</v>
      </c>
      <c r="E20" s="16" t="n">
        <f aca="false">IFERROR(D20/SUM(Data!$E$2:$E$38),0)</f>
        <v>0.00263497649049364</v>
      </c>
      <c r="F20" s="16" t="n">
        <f aca="false">F19+E20</f>
        <v>0.989121074464784</v>
      </c>
      <c r="G20" s="14" t="str">
        <f aca="false">IF(F19&lt;0.8,"Yes","")</f>
        <v/>
      </c>
    </row>
    <row r="21" customFormat="false" ht="15" hidden="false" customHeight="false" outlineLevel="0" collapsed="false">
      <c r="B21" s="9" t="n">
        <v>17</v>
      </c>
      <c r="C21" s="14" t="s">
        <v>55</v>
      </c>
      <c r="D21" s="10" t="n">
        <f aca="false">SUMIFS(Data!$E$2:$E$38,Data!$A$2:$A$38,$C21)</f>
        <v>159724</v>
      </c>
      <c r="E21" s="16" t="n">
        <f aca="false">IFERROR(D21/SUM(Data!$E$2:$E$38),0)</f>
        <v>0.0026230538171867</v>
      </c>
      <c r="F21" s="16" t="n">
        <f aca="false">F20+E21</f>
        <v>0.991744128281971</v>
      </c>
      <c r="G21" s="14" t="str">
        <f aca="false">IF(F20&lt;0.8,"Yes","")</f>
        <v/>
      </c>
    </row>
    <row r="22" customFormat="false" ht="15" hidden="false" customHeight="false" outlineLevel="0" collapsed="false">
      <c r="B22" s="9" t="n">
        <v>18</v>
      </c>
      <c r="C22" s="14" t="s">
        <v>56</v>
      </c>
      <c r="D22" s="10" t="n">
        <f aca="false">SUMIFS(Data!$E$2:$E$38,Data!$A$2:$A$38,$C22)</f>
        <v>110950</v>
      </c>
      <c r="E22" s="16" t="n">
        <f aca="false">IFERROR(D22/SUM(Data!$E$2:$E$38),0)</f>
        <v>0.0018220669468387</v>
      </c>
      <c r="F22" s="16" t="n">
        <f aca="false">F21+E22</f>
        <v>0.99356619522881</v>
      </c>
      <c r="G22" s="14" t="str">
        <f aca="false">IF(F21&lt;0.8,"Yes","")</f>
        <v/>
      </c>
    </row>
    <row r="23" customFormat="false" ht="15" hidden="false" customHeight="false" outlineLevel="0" collapsed="false">
      <c r="B23" s="9" t="n">
        <v>19</v>
      </c>
      <c r="C23" s="14" t="s">
        <v>57</v>
      </c>
      <c r="D23" s="10" t="n">
        <f aca="false">SUMIFS(Data!$E$2:$E$38,Data!$A$2:$A$38,$C23)</f>
        <v>77950</v>
      </c>
      <c r="E23" s="16" t="n">
        <f aca="false">IFERROR(D23/SUM(Data!$E$2:$E$38),0)</f>
        <v>0.00128012725106874</v>
      </c>
      <c r="F23" s="16" t="n">
        <f aca="false">F22+E23</f>
        <v>0.994846322479878</v>
      </c>
      <c r="G23" s="14" t="str">
        <f aca="false">IF(F22&lt;0.8,"Yes","")</f>
        <v/>
      </c>
    </row>
    <row r="24" customFormat="false" ht="15" hidden="false" customHeight="false" outlineLevel="0" collapsed="false">
      <c r="B24" s="9" t="n">
        <v>20</v>
      </c>
      <c r="C24" s="14" t="s">
        <v>58</v>
      </c>
      <c r="D24" s="10" t="n">
        <f aca="false">SUMIFS(Data!$E$2:$E$38,Data!$A$2:$A$38,$C24)</f>
        <v>62312.6399999999</v>
      </c>
      <c r="E24" s="16" t="n">
        <f aca="false">IFERROR(D24/SUM(Data!$E$2:$E$38),0)</f>
        <v>0.00102332403527948</v>
      </c>
      <c r="F24" s="16" t="n">
        <f aca="false">F23+E24</f>
        <v>0.995869646515158</v>
      </c>
      <c r="G24" s="14" t="str">
        <f aca="false">IF(F23&lt;0.8,"Yes","")</f>
        <v/>
      </c>
    </row>
    <row r="25" customFormat="false" ht="15" hidden="false" customHeight="false" outlineLevel="0" collapsed="false">
      <c r="B25" s="9" t="n">
        <v>21</v>
      </c>
      <c r="C25" s="14" t="s">
        <v>59</v>
      </c>
      <c r="D25" s="10" t="n">
        <f aca="false">SUMIFS(Data!$E$2:$E$38,Data!$A$2:$A$38,$C25)</f>
        <v>59950</v>
      </c>
      <c r="E25" s="16" t="n">
        <f aca="false">IFERROR(D25/SUM(Data!$E$2:$E$38),0)</f>
        <v>0.00098452378064876</v>
      </c>
      <c r="F25" s="16" t="n">
        <f aca="false">F24+E25</f>
        <v>0.996854170295807</v>
      </c>
      <c r="G25" s="14" t="str">
        <f aca="false">IF(F24&lt;0.8,"Yes","")</f>
        <v/>
      </c>
    </row>
    <row r="26" customFormat="false" ht="15" hidden="false" customHeight="false" outlineLevel="0" collapsed="false">
      <c r="B26" s="9" t="n">
        <v>22</v>
      </c>
      <c r="C26" s="14" t="s">
        <v>60</v>
      </c>
      <c r="D26" s="10" t="n">
        <f aca="false">SUMIFS(Data!$E$2:$E$38,Data!$A$2:$A$38,$C26)</f>
        <v>47180</v>
      </c>
      <c r="E26" s="16" t="n">
        <f aca="false">IFERROR(D26/SUM(Data!$E$2:$E$38),0)</f>
        <v>0.000774809540800809</v>
      </c>
      <c r="F26" s="16" t="n">
        <f aca="false">F25+E26</f>
        <v>0.997628979836607</v>
      </c>
      <c r="G26" s="14" t="str">
        <f aca="false">IF(F25&lt;0.8,"Yes","")</f>
        <v/>
      </c>
    </row>
    <row r="27" customFormat="false" ht="15" hidden="false" customHeight="false" outlineLevel="0" collapsed="false">
      <c r="B27" s="9" t="n">
        <v>23</v>
      </c>
      <c r="C27" s="14" t="s">
        <v>61</v>
      </c>
      <c r="D27" s="10" t="n">
        <f aca="false">SUMIFS(Data!$E$2:$E$38,Data!$A$2:$A$38,$C27)</f>
        <v>44875</v>
      </c>
      <c r="E27" s="16" t="n">
        <f aca="false">IFERROR(D27/SUM(Data!$E$2:$E$38),0)</f>
        <v>0.000736955874172029</v>
      </c>
      <c r="F27" s="16" t="n">
        <f aca="false">F26+E27</f>
        <v>0.998365935710779</v>
      </c>
      <c r="G27" s="14" t="str">
        <f aca="false">IF(F26&lt;0.8,"Yes","")</f>
        <v/>
      </c>
    </row>
    <row r="28" customFormat="false" ht="15" hidden="false" customHeight="false" outlineLevel="0" collapsed="false">
      <c r="B28" s="9" t="n">
        <v>24</v>
      </c>
      <c r="C28" s="14" t="s">
        <v>62</v>
      </c>
      <c r="D28" s="10" t="n">
        <f aca="false">SUMIFS(Data!$E$2:$E$38,Data!$A$2:$A$38,$C28)</f>
        <v>26032</v>
      </c>
      <c r="E28" s="16" t="n">
        <f aca="false">IFERROR(D28/SUM(Data!$E$2:$E$38),0)</f>
        <v>0.000427508307887382</v>
      </c>
      <c r="F28" s="16" t="n">
        <f aca="false">F27+E28</f>
        <v>0.998793444018667</v>
      </c>
      <c r="G28" s="14" t="str">
        <f aca="false">IF(F27&lt;0.8,"Yes","")</f>
        <v/>
      </c>
    </row>
    <row r="29" customFormat="false" ht="15" hidden="false" customHeight="false" outlineLevel="0" collapsed="false">
      <c r="B29" s="9" t="n">
        <v>25</v>
      </c>
      <c r="C29" s="14" t="s">
        <v>63</v>
      </c>
      <c r="D29" s="10" t="n">
        <f aca="false">SUMIFS(Data!$E$2:$E$38,Data!$A$2:$A$38,$C29)</f>
        <v>22025</v>
      </c>
      <c r="E29" s="16" t="n">
        <f aca="false">IFERROR(D29/SUM(Data!$E$2:$E$38),0)</f>
        <v>0.00036170369088889</v>
      </c>
      <c r="F29" s="16" t="n">
        <f aca="false">F28+E29</f>
        <v>0.999155147709556</v>
      </c>
      <c r="G29" s="14" t="str">
        <f aca="false">IF(F28&lt;0.8,"Yes","")</f>
        <v/>
      </c>
    </row>
    <row r="30" customFormat="false" ht="15" hidden="false" customHeight="false" outlineLevel="0" collapsed="false">
      <c r="B30" s="9" t="n">
        <v>26</v>
      </c>
      <c r="C30" s="14" t="s">
        <v>64</v>
      </c>
      <c r="D30" s="10" t="n">
        <f aca="false">SUMIFS(Data!$E$2:$E$38,Data!$A$2:$A$38,$C30)</f>
        <v>15000</v>
      </c>
      <c r="E30" s="16" t="n">
        <f aca="false">IFERROR(D30/SUM(Data!$E$2:$E$38),0)</f>
        <v>0.000246336225349982</v>
      </c>
      <c r="F30" s="16" t="n">
        <f aca="false">F29+E30</f>
        <v>0.999401483934906</v>
      </c>
      <c r="G30" s="14" t="str">
        <f aca="false">IF(F29&lt;0.8,"Yes","")</f>
        <v/>
      </c>
    </row>
    <row r="31" customFormat="false" ht="15" hidden="false" customHeight="false" outlineLevel="0" collapsed="false">
      <c r="B31" s="9" t="n">
        <v>27</v>
      </c>
      <c r="C31" s="14" t="s">
        <v>65</v>
      </c>
      <c r="D31" s="10" t="n">
        <f aca="false">SUMIFS(Data!$E$2:$E$38,Data!$A$2:$A$38,$C31)</f>
        <v>9489.31999999998</v>
      </c>
      <c r="E31" s="16" t="n">
        <f aca="false">IFERROR(D31/SUM(Data!$E$2:$E$38),0)</f>
        <v>0.000155837551329206</v>
      </c>
      <c r="F31" s="16" t="n">
        <f aca="false">F30+E31</f>
        <v>0.999557321486235</v>
      </c>
      <c r="G31" s="14" t="str">
        <f aca="false">IF(F30&lt;0.8,"Yes","")</f>
        <v/>
      </c>
    </row>
    <row r="32" customFormat="false" ht="15" hidden="false" customHeight="false" outlineLevel="0" collapsed="false">
      <c r="B32" s="9" t="n">
        <v>28</v>
      </c>
      <c r="C32" s="14" t="s">
        <v>66</v>
      </c>
      <c r="D32" s="10" t="n">
        <f aca="false">SUMIFS(Data!$E$2:$E$38,Data!$A$2:$A$38,$C32)</f>
        <v>6000</v>
      </c>
      <c r="E32" s="16" t="n">
        <f aca="false">IFERROR(D32/SUM(Data!$E$2:$E$38),0)</f>
        <v>9.85344901399927E-005</v>
      </c>
      <c r="F32" s="16" t="n">
        <f aca="false">F31+E32</f>
        <v>0.999655855976375</v>
      </c>
      <c r="G32" s="14" t="str">
        <f aca="false">IF(F31&lt;0.8,"Yes","")</f>
        <v/>
      </c>
    </row>
    <row r="33" customFormat="false" ht="15" hidden="false" customHeight="false" outlineLevel="0" collapsed="false">
      <c r="B33" s="9" t="n">
        <v>29</v>
      </c>
      <c r="C33" s="14" t="s">
        <v>67</v>
      </c>
      <c r="D33" s="10" t="n">
        <f aca="false">SUMIFS(Data!$E$2:$E$38,Data!$A$2:$A$38,$C33)</f>
        <v>6000</v>
      </c>
      <c r="E33" s="16" t="n">
        <f aca="false">IFERROR(D33/SUM(Data!$E$2:$E$38),0)</f>
        <v>9.85344901399927E-005</v>
      </c>
      <c r="F33" s="16" t="n">
        <f aca="false">F32+E33</f>
        <v>0.999754390466515</v>
      </c>
      <c r="G33" s="14" t="str">
        <f aca="false">IF(F32&lt;0.8,"Yes","")</f>
        <v/>
      </c>
    </row>
    <row r="34" customFormat="false" ht="15" hidden="false" customHeight="false" outlineLevel="0" collapsed="false">
      <c r="B34" s="9" t="n">
        <v>30</v>
      </c>
      <c r="C34" s="14" t="s">
        <v>68</v>
      </c>
      <c r="D34" s="10" t="n">
        <f aca="false">SUMIFS(Data!$E$2:$E$38,Data!$A$2:$A$38,$C34)</f>
        <v>5225</v>
      </c>
      <c r="E34" s="16" t="n">
        <f aca="false">IFERROR(D34/SUM(Data!$E$2:$E$38),0)</f>
        <v>8.58071184969103E-005</v>
      </c>
      <c r="F34" s="16" t="n">
        <f aca="false">F33+E34</f>
        <v>0.999840197585012</v>
      </c>
      <c r="G34" s="14" t="str">
        <f aca="false">IF(F33&lt;0.8,"Yes","")</f>
        <v/>
      </c>
    </row>
    <row r="35" customFormat="false" ht="15" hidden="false" customHeight="false" outlineLevel="0" collapsed="false">
      <c r="B35" s="9" t="n">
        <v>31</v>
      </c>
      <c r="C35" s="14" t="s">
        <v>69</v>
      </c>
      <c r="D35" s="10" t="n">
        <f aca="false">SUMIFS(Data!$E$2:$E$38,Data!$A$2:$A$38,$C35)</f>
        <v>3725</v>
      </c>
      <c r="E35" s="16" t="n">
        <f aca="false">IFERROR(D35/SUM(Data!$E$2:$E$38),0)</f>
        <v>6.11734959619121E-005</v>
      </c>
      <c r="F35" s="16" t="n">
        <f aca="false">F34+E35</f>
        <v>0.999901371080973</v>
      </c>
      <c r="G35" s="14" t="str">
        <f aca="false">IF(F34&lt;0.8,"Yes","")</f>
        <v/>
      </c>
    </row>
    <row r="36" customFormat="false" ht="15" hidden="false" customHeight="false" outlineLevel="0" collapsed="false">
      <c r="B36" s="9" t="n">
        <v>32</v>
      </c>
      <c r="C36" s="14" t="s">
        <v>70</v>
      </c>
      <c r="D36" s="10" t="n">
        <f aca="false">SUMIFS(Data!$E$2:$E$38,Data!$A$2:$A$38,$C36)</f>
        <v>3005.75</v>
      </c>
      <c r="E36" s="16" t="n">
        <f aca="false">IFERROR(D36/SUM(Data!$E$2:$E$38),0)</f>
        <v>4.93616739563805E-005</v>
      </c>
      <c r="F36" s="16" t="n">
        <f aca="false">F35+E36</f>
        <v>0.99995073275493</v>
      </c>
      <c r="G36" s="14" t="str">
        <f aca="false">IF(F35&lt;0.8,"Yes","")</f>
        <v/>
      </c>
    </row>
    <row r="37" customFormat="false" ht="15" hidden="false" customHeight="false" outlineLevel="0" collapsed="false">
      <c r="B37" s="9" t="n">
        <v>33</v>
      </c>
      <c r="C37" s="14" t="s">
        <v>71</v>
      </c>
      <c r="D37" s="10" t="n">
        <f aca="false">SUMIFS(Data!$E$2:$E$38,Data!$A$2:$A$38,$C37)</f>
        <v>3000</v>
      </c>
      <c r="E37" s="16" t="n">
        <f aca="false">IFERROR(D37/SUM(Data!$E$2:$E$38),0)</f>
        <v>4.92672450699963E-005</v>
      </c>
      <c r="F37" s="16" t="n">
        <f aca="false">F36+E37</f>
        <v>1</v>
      </c>
      <c r="G37" s="14" t="str">
        <f aca="false">IF(F36&lt;0.8,"Yes","")</f>
        <v/>
      </c>
    </row>
    <row r="38" customFormat="false" ht="15" hidden="false" customHeight="false" outlineLevel="0" collapsed="false">
      <c r="B38" s="9" t="n">
        <v>34</v>
      </c>
      <c r="C38" s="14" t="s">
        <v>45</v>
      </c>
      <c r="D38" s="10" t="n">
        <f aca="false">SUMIFS(Data!$E$2:$E$38,Data!$A$2:$A$38,$C38)</f>
        <v>529589.34</v>
      </c>
      <c r="E38" s="16" t="n">
        <f aca="false">IFERROR(D38/SUM(Data!$E$2:$E$38),0)</f>
        <v>0.00869713593341254</v>
      </c>
      <c r="F38" s="16" t="n">
        <f aca="false">F37+E38</f>
        <v>1.00869713593341</v>
      </c>
      <c r="G38" s="14" t="str">
        <f aca="false">IF(F37&lt;0.8,"Yes","")</f>
        <v/>
      </c>
    </row>
    <row r="39" customFormat="false" ht="15" hidden="false" customHeight="false" outlineLevel="0" collapsed="false">
      <c r="B39" s="9" t="n">
        <v>35</v>
      </c>
      <c r="C39" s="14" t="s">
        <v>62</v>
      </c>
      <c r="D39" s="10" t="n">
        <f aca="false">SUMIFS(Data!$E$2:$E$38,Data!$A$2:$A$38,$C39)</f>
        <v>26032</v>
      </c>
      <c r="E39" s="16" t="n">
        <f aca="false">IFERROR(D39/SUM(Data!$E$2:$E$38),0)</f>
        <v>0.000427508307887382</v>
      </c>
      <c r="F39" s="16" t="n">
        <f aca="false">F38+E39</f>
        <v>1.0091246442413</v>
      </c>
      <c r="G39" s="14" t="str">
        <f aca="false">IF(F38&lt;0.8,"Yes","")</f>
        <v/>
      </c>
    </row>
    <row r="40" customFormat="false" ht="15" hidden="false" customHeight="false" outlineLevel="0" collapsed="false">
      <c r="B40" s="9" t="n">
        <v>36</v>
      </c>
      <c r="C40" s="14" t="s">
        <v>72</v>
      </c>
      <c r="D40" s="10" t="n">
        <f aca="false">SUMIFS(Data!$E$2:$E$38,Data!$A$2:$A$38,$C40)</f>
        <v>0</v>
      </c>
      <c r="E40" s="16" t="n">
        <f aca="false">IFERROR(D40/SUM(Data!$E$2:$E$38),0)</f>
        <v>0</v>
      </c>
      <c r="F40" s="16" t="n">
        <f aca="false">F39+E40</f>
        <v>1.0091246442413</v>
      </c>
      <c r="G40" s="14" t="str">
        <f aca="false">IF(F39&lt;0.8,"Yes","")</f>
        <v/>
      </c>
    </row>
    <row r="41" customFormat="false" ht="15" hidden="false" customHeight="false" outlineLevel="0" collapsed="false">
      <c r="B41" s="9" t="n">
        <v>37</v>
      </c>
      <c r="C41" s="14" t="s">
        <v>61</v>
      </c>
      <c r="D41" s="10" t="n">
        <f aca="false">SUMIFS(Data!$E$2:$E$38,Data!$A$2:$A$38,$C41)</f>
        <v>44875</v>
      </c>
      <c r="E41" s="16" t="n">
        <f aca="false">IFERROR(D41/SUM(Data!$E$2:$E$38),0)</f>
        <v>0.000736955874172029</v>
      </c>
      <c r="F41" s="16" t="n">
        <f aca="false">F40+E41</f>
        <v>1.00986160011547</v>
      </c>
      <c r="G41" s="14" t="str">
        <f aca="false">IF(F40&lt;0.8,"Yes","")</f>
        <v/>
      </c>
    </row>
    <row r="43" customFormat="false" ht="15" hidden="false" customHeight="false" outlineLevel="0" collapsed="false">
      <c r="C43" s="5" t="s">
        <v>85</v>
      </c>
      <c r="D43" s="23" t="n">
        <f aca="false">COUNTIF(G5:G41,"Yes")</f>
        <v>2</v>
      </c>
    </row>
    <row r="44" customFormat="false" ht="15" hidden="false" customHeight="false" outlineLevel="0" collapsed="false">
      <c r="C44" s="5" t="s">
        <v>86</v>
      </c>
      <c r="D44" s="24" t="n">
        <v>37</v>
      </c>
    </row>
    <row r="45" customFormat="false" ht="15" hidden="false" customHeight="false" outlineLevel="0" collapsed="false">
      <c r="C45" s="5" t="s">
        <v>87</v>
      </c>
      <c r="D45" s="25" t="n">
        <f aca="false">IFERROR(D43/D44,0)</f>
        <v>0.0540540540540541</v>
      </c>
    </row>
    <row r="47" customFormat="false" ht="15" hidden="false" customHeight="false" outlineLevel="0" collapsed="false">
      <c r="C47" s="26" t="s">
        <v>88</v>
      </c>
    </row>
    <row r="48" customFormat="false" ht="15" hidden="false" customHeight="false" outlineLevel="0" collapsed="false">
      <c r="C48" s="6" t="s">
        <v>89</v>
      </c>
    </row>
    <row r="49" customFormat="false" ht="15" hidden="false" customHeight="false" outlineLevel="0" collapsed="false">
      <c r="C49" s="6" t="s">
        <v>90</v>
      </c>
    </row>
    <row r="50" customFormat="false" ht="15" hidden="false" customHeight="false" outlineLevel="0" collapsed="false">
      <c r="C50" s="6" t="s">
        <v>91</v>
      </c>
    </row>
  </sheetData>
  <conditionalFormatting sqref="F5:F41">
    <cfRule type="dataBar" priority="2">
      <dataBar showValue="1" minLength="10" maxLength="90">
        <cfvo type="num" val="0"/>
        <cfvo type="num" val="1"/>
        <color rgb="FF5B8DEF"/>
      </dataBar>
      <extLst>
        <ext xmlns:x14="http://schemas.microsoft.com/office/spreadsheetml/2009/9/main" uri="{B025F937-C7B1-47D3-B67F-A62EFF666E3E}">
          <x14:id>{5E46BD40-E3AA-4CC8-B662-552B685FA0D4}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46BD40-E3AA-4CC8-B662-552B685FA0D4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5B8DEF"/>
              <x14:axisColor rgb="FF000000"/>
            </x14:dataBar>
          </x14:cfRule>
          <xm:sqref>F5:F41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3"/>
    <col collapsed="false" customWidth="true" hidden="false" outlineLevel="0" max="7" min="7" style="0" width="18"/>
    <col collapsed="false" customWidth="true" hidden="false" outlineLevel="0" max="8" min="8" style="0" width="13"/>
    <col collapsed="false" customWidth="true" hidden="false" outlineLevel="0" max="9" min="9" style="0" width="11"/>
    <col collapsed="false" customWidth="true" hidden="false" outlineLevel="0" max="10" min="10" style="0" width="14"/>
  </cols>
  <sheetData>
    <row r="1" customFormat="false" ht="19.7" hidden="false" customHeight="false" outlineLevel="0" collapsed="false">
      <c r="B1" s="1" t="s">
        <v>92</v>
      </c>
    </row>
    <row r="2" customFormat="false" ht="15" hidden="false" customHeight="false" outlineLevel="0" collapsed="false">
      <c r="B2" s="12" t="s">
        <v>93</v>
      </c>
    </row>
    <row r="4" customFormat="false" ht="15" hidden="false" customHeight="false" outlineLevel="0" collapsed="false">
      <c r="B4" s="13" t="s">
        <v>94</v>
      </c>
      <c r="C4" s="13" t="s">
        <v>95</v>
      </c>
      <c r="D4" s="13" t="s">
        <v>34</v>
      </c>
      <c r="E4" s="13" t="s">
        <v>35</v>
      </c>
      <c r="F4" s="13" t="s">
        <v>96</v>
      </c>
      <c r="G4" s="13" t="s">
        <v>36</v>
      </c>
      <c r="H4" s="13" t="s">
        <v>79</v>
      </c>
      <c r="I4" s="13" t="s">
        <v>76</v>
      </c>
      <c r="J4" s="13" t="s">
        <v>77</v>
      </c>
    </row>
    <row r="5" customFormat="false" ht="15" hidden="false" customHeight="false" outlineLevel="0" collapsed="false">
      <c r="B5" s="14" t="s">
        <v>40</v>
      </c>
      <c r="C5" s="10" t="n">
        <f aca="false">COUNTIFS(Data!$B$2:$B$38,$B5)</f>
        <v>12</v>
      </c>
      <c r="D5" s="10" t="n">
        <f aca="false">SUMIFS(Data!$C$2:$C$38,Data!$B$2:$B$38,$B5)</f>
        <v>4370</v>
      </c>
      <c r="E5" s="10" t="n">
        <f aca="false">SUMIFS(Data!$D$2:$D$38,Data!$B$2:$B$38,$B5)</f>
        <v>1860404344.4629</v>
      </c>
      <c r="F5" s="16" t="n">
        <f aca="false">IFERROR(E5/SUM(Data!$D$2:$D$38),0)</f>
        <v>0.521487474488201</v>
      </c>
      <c r="G5" s="10" t="n">
        <f aca="false">SUMIFS(Data!$E$2:$E$38,Data!$B$2:$B$38,$B5)</f>
        <v>13540897.4899</v>
      </c>
      <c r="H5" s="16" t="n">
        <f aca="false">IFERROR(G5/SUM(Data!$E$2:$E$38),0)</f>
        <v>0.222374238367534</v>
      </c>
      <c r="I5" s="15" t="n">
        <f aca="false">IFERROR(G5/E5,0)</f>
        <v>0.00727847015096563</v>
      </c>
      <c r="J5" s="10" t="n">
        <f aca="false">IFERROR(E5/D5,0)</f>
        <v>425721.817954897</v>
      </c>
    </row>
    <row r="6" customFormat="false" ht="15" hidden="false" customHeight="false" outlineLevel="0" collapsed="false">
      <c r="B6" s="14" t="s">
        <v>38</v>
      </c>
      <c r="C6" s="10" t="n">
        <f aca="false">COUNTIFS(Data!$B$2:$B$38,$B6)</f>
        <v>25</v>
      </c>
      <c r="D6" s="10" t="n">
        <f aca="false">SUMIFS(Data!$C$2:$C$38,Data!$B$2:$B$38,$B6)</f>
        <v>10080</v>
      </c>
      <c r="E6" s="10" t="n">
        <f aca="false">SUMIFS(Data!$D$2:$D$38,Data!$B$2:$B$38,$B6)</f>
        <v>1707091397</v>
      </c>
      <c r="F6" s="16" t="n">
        <f aca="false">IFERROR(E6/SUM(Data!$D$2:$D$38),0)</f>
        <v>0.478512525511799</v>
      </c>
      <c r="G6" s="10" t="n">
        <f aca="false">SUMIFS(Data!$E$2:$E$38,Data!$B$2:$B$38,$B6)</f>
        <v>47351486.4</v>
      </c>
      <c r="H6" s="16" t="n">
        <f aca="false">IFERROR(G6/SUM(Data!$E$2:$E$38),0)</f>
        <v>0.777625761632466</v>
      </c>
      <c r="I6" s="15" t="n">
        <f aca="false">IFERROR(G6/E6,0)</f>
        <v>0.0277381085062079</v>
      </c>
      <c r="J6" s="10" t="n">
        <f aca="false">IFERROR(E6/D6,0)</f>
        <v>169354.305257937</v>
      </c>
    </row>
    <row r="7" customFormat="false" ht="15" hidden="false" customHeight="false" outlineLevel="0" collapsed="false">
      <c r="B7" s="27" t="s">
        <v>80</v>
      </c>
      <c r="C7" s="19" t="n">
        <f aca="false">SUM(C5:C6)</f>
        <v>37</v>
      </c>
      <c r="D7" s="19" t="n">
        <f aca="false">SUM(D5:D6)</f>
        <v>14450</v>
      </c>
      <c r="E7" s="19" t="n">
        <f aca="false">SUM(E5:E6)</f>
        <v>3567495741.4629</v>
      </c>
      <c r="F7" s="22" t="n">
        <f aca="false">SUM(F5:F6)</f>
        <v>1</v>
      </c>
      <c r="G7" s="19" t="n">
        <f aca="false">SUM(G5:G6)</f>
        <v>60892383.8899</v>
      </c>
      <c r="H7" s="22" t="n">
        <f aca="false">SUM(H5:H6)</f>
        <v>1</v>
      </c>
      <c r="I7" s="20" t="n">
        <f aca="false">IFERROR(G7/E7,0)</f>
        <v>0.0170686633713907</v>
      </c>
      <c r="J7" s="19" t="n">
        <f aca="false">IFERROR(E7/D7,0)</f>
        <v>246885.518440339</v>
      </c>
    </row>
    <row r="9" customFormat="false" ht="15" hidden="false" customHeight="false" outlineLevel="0" collapsed="false">
      <c r="B9" s="5" t="s">
        <v>97</v>
      </c>
      <c r="E9" s="28" t="n">
        <f aca="false">IFERROR(I6/I5,0)</f>
        <v>3.81098059494383</v>
      </c>
    </row>
    <row r="11" customFormat="false" ht="15" hidden="false" customHeight="false" outlineLevel="0" collapsed="false">
      <c r="B11" s="3" t="s">
        <v>98</v>
      </c>
    </row>
    <row r="12" customFormat="false" ht="15" hidden="false" customHeight="false" outlineLevel="0" collapsed="false">
      <c r="B12" s="6" t="s">
        <v>99</v>
      </c>
    </row>
    <row r="13" customFormat="false" ht="15" hidden="false" customHeight="false" outlineLevel="0" collapsed="false">
      <c r="B13" s="6" t="s">
        <v>100</v>
      </c>
    </row>
    <row r="14" customFormat="false" ht="15" hidden="false" customHeight="false" outlineLevel="0" collapsed="false">
      <c r="B14" s="6" t="s">
        <v>101</v>
      </c>
    </row>
    <row r="15" customFormat="false" ht="15" hidden="false" customHeight="false" outlineLevel="0" collapsed="false">
      <c r="B15" s="6"/>
    </row>
    <row r="16" customFormat="false" ht="15" hidden="false" customHeight="false" outlineLevel="0" collapsed="false">
      <c r="B16" s="6" t="s">
        <v>102</v>
      </c>
    </row>
    <row r="17" customFormat="false" ht="15" hidden="false" customHeight="false" outlineLevel="0" collapsed="false">
      <c r="B17" s="6" t="s">
        <v>103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7"/>
    <col collapsed="false" customWidth="true" hidden="false" outlineLevel="0" max="4" min="4" style="0" width="18"/>
    <col collapsed="false" customWidth="true" hidden="false" outlineLevel="0" max="5" min="5" style="0" width="26"/>
    <col collapsed="false" customWidth="true" hidden="false" outlineLevel="0" max="6" min="6" style="0" width="18"/>
    <col collapsed="false" customWidth="true" hidden="false" outlineLevel="0" max="7" min="7" style="0" width="20"/>
    <col collapsed="false" customWidth="true" hidden="false" outlineLevel="0" max="8" min="8" style="0" width="12"/>
  </cols>
  <sheetData>
    <row r="1" customFormat="false" ht="19.7" hidden="false" customHeight="false" outlineLevel="0" collapsed="false">
      <c r="B1" s="1" t="s">
        <v>104</v>
      </c>
    </row>
    <row r="2" customFormat="false" ht="15" hidden="false" customHeight="false" outlineLevel="0" collapsed="false">
      <c r="B2" s="12" t="s">
        <v>105</v>
      </c>
    </row>
    <row r="4" customFormat="false" ht="15" hidden="false" customHeight="false" outlineLevel="0" collapsed="false">
      <c r="B4" s="3" t="s">
        <v>106</v>
      </c>
    </row>
    <row r="5" customFormat="false" ht="15" hidden="false" customHeight="false" outlineLevel="0" collapsed="false">
      <c r="B5" s="5" t="s">
        <v>107</v>
      </c>
      <c r="D5" s="23" t="n">
        <f aca="false">SUMIFS(Data!$E$2:$E$38,Data!$A$2:$A$38,"APPLE")</f>
        <v>38268370.72</v>
      </c>
    </row>
    <row r="6" customFormat="false" ht="15" hidden="false" customHeight="false" outlineLevel="0" collapsed="false">
      <c r="B6" s="5" t="s">
        <v>108</v>
      </c>
      <c r="D6" s="23" t="n">
        <f aca="false">SUM(Data!$E$2:$E$38)</f>
        <v>60892383.8899</v>
      </c>
    </row>
    <row r="7" customFormat="false" ht="15" hidden="false" customHeight="false" outlineLevel="0" collapsed="false">
      <c r="B7" s="5" t="s">
        <v>109</v>
      </c>
      <c r="D7" s="25" t="n">
        <f aca="false">IFERROR(D5/D6,0)</f>
        <v>0.628459066230571</v>
      </c>
    </row>
    <row r="8" customFormat="false" ht="15" hidden="false" customHeight="false" outlineLevel="0" collapsed="false">
      <c r="B8" s="5" t="s">
        <v>110</v>
      </c>
      <c r="D8" s="29" t="n">
        <v>0.25</v>
      </c>
    </row>
    <row r="9" customFormat="false" ht="15" hidden="false" customHeight="false" outlineLevel="0" collapsed="false">
      <c r="B9" s="5" t="s">
        <v>111</v>
      </c>
      <c r="D9" s="30" t="n">
        <v>0.0277</v>
      </c>
    </row>
    <row r="10" customFormat="false" ht="15" hidden="false" customHeight="false" outlineLevel="0" collapsed="false">
      <c r="B10" s="31" t="s">
        <v>112</v>
      </c>
    </row>
    <row r="12" customFormat="false" ht="23.85" hidden="false" customHeight="false" outlineLevel="0" collapsed="false">
      <c r="B12" s="13" t="s">
        <v>113</v>
      </c>
      <c r="C12" s="13" t="s">
        <v>114</v>
      </c>
      <c r="D12" s="13" t="s">
        <v>115</v>
      </c>
      <c r="E12" s="13" t="s">
        <v>116</v>
      </c>
      <c r="F12" s="13" t="s">
        <v>117</v>
      </c>
      <c r="G12" s="13" t="s">
        <v>118</v>
      </c>
      <c r="H12" s="13" t="s">
        <v>119</v>
      </c>
    </row>
    <row r="13" customFormat="false" ht="15" hidden="false" customHeight="false" outlineLevel="0" collapsed="false">
      <c r="B13" s="14" t="s">
        <v>120</v>
      </c>
      <c r="C13" s="32" t="n">
        <v>0</v>
      </c>
      <c r="D13" s="10" t="n">
        <f aca="false">-$D$5*C13</f>
        <v>-0</v>
      </c>
      <c r="E13" s="10" t="n">
        <f aca="false">-D13*$D$8</f>
        <v>0</v>
      </c>
      <c r="F13" s="10" t="n">
        <f aca="false">D13+E13</f>
        <v>0</v>
      </c>
      <c r="G13" s="10" t="n">
        <f aca="false">$D$6+F13</f>
        <v>60892383.8899</v>
      </c>
      <c r="H13" s="16" t="n">
        <f aca="false">IFERROR(F13/$D$6,0)</f>
        <v>0</v>
      </c>
    </row>
    <row r="14" customFormat="false" ht="15" hidden="false" customHeight="false" outlineLevel="0" collapsed="false">
      <c r="B14" s="14" t="s">
        <v>121</v>
      </c>
      <c r="C14" s="32" t="n">
        <v>0.2</v>
      </c>
      <c r="D14" s="10" t="n">
        <f aca="false">-$D$5*C14</f>
        <v>-7653674.144</v>
      </c>
      <c r="E14" s="10" t="n">
        <f aca="false">-D14*$D$8</f>
        <v>1913418.536</v>
      </c>
      <c r="F14" s="10" t="n">
        <f aca="false">D14+E14</f>
        <v>-5740255.608</v>
      </c>
      <c r="G14" s="10" t="n">
        <f aca="false">$D$6+F14</f>
        <v>55152128.2819</v>
      </c>
      <c r="H14" s="16" t="n">
        <f aca="false">IFERROR(F14/$D$6,0)</f>
        <v>-0.0942688599345856</v>
      </c>
    </row>
    <row r="15" customFormat="false" ht="15" hidden="false" customHeight="false" outlineLevel="0" collapsed="false">
      <c r="B15" s="14" t="s">
        <v>122</v>
      </c>
      <c r="C15" s="32" t="n">
        <v>0.4</v>
      </c>
      <c r="D15" s="10" t="n">
        <f aca="false">-$D$5*C15</f>
        <v>-15307348.288</v>
      </c>
      <c r="E15" s="10" t="n">
        <f aca="false">-D15*$D$8</f>
        <v>3826837.072</v>
      </c>
      <c r="F15" s="10" t="n">
        <f aca="false">D15+E15</f>
        <v>-11480511.216</v>
      </c>
      <c r="G15" s="10" t="n">
        <f aca="false">$D$6+F15</f>
        <v>49411872.6739</v>
      </c>
      <c r="H15" s="16" t="n">
        <f aca="false">IFERROR(F15/$D$6,0)</f>
        <v>-0.188537719869171</v>
      </c>
    </row>
    <row r="16" customFormat="false" ht="15" hidden="false" customHeight="false" outlineLevel="0" collapsed="false">
      <c r="B16" s="14" t="s">
        <v>123</v>
      </c>
      <c r="C16" s="32" t="n">
        <v>1</v>
      </c>
      <c r="D16" s="10" t="n">
        <f aca="false">-$D$5*C16</f>
        <v>-38268370.72</v>
      </c>
      <c r="E16" s="10" t="n">
        <f aca="false">-D16*$D$8</f>
        <v>9567092.68</v>
      </c>
      <c r="F16" s="10" t="n">
        <f aca="false">D16+E16</f>
        <v>-28701278.04</v>
      </c>
      <c r="G16" s="10" t="n">
        <f aca="false">$D$6+F16</f>
        <v>32191105.8499</v>
      </c>
      <c r="H16" s="16" t="n">
        <f aca="false">IFERROR(F16/$D$6,0)</f>
        <v>-0.471344299672928</v>
      </c>
    </row>
    <row r="18" customFormat="false" ht="15" hidden="false" customHeight="false" outlineLevel="0" collapsed="false">
      <c r="B18" s="3" t="s">
        <v>124</v>
      </c>
    </row>
    <row r="19" customFormat="false" ht="15" hidden="false" customHeight="false" outlineLevel="0" collapsed="false">
      <c r="B19" s="6" t="s">
        <v>125</v>
      </c>
    </row>
    <row r="20" customFormat="false" ht="15" hidden="false" customHeight="false" outlineLevel="0" collapsed="false">
      <c r="B20" s="6" t="s">
        <v>126</v>
      </c>
    </row>
    <row r="21" customFormat="false" ht="15" hidden="false" customHeight="false" outlineLevel="0" collapsed="false">
      <c r="B21" s="6" t="s">
        <v>127</v>
      </c>
    </row>
    <row r="22" customFormat="false" ht="15" hidden="false" customHeight="false" outlineLevel="0" collapsed="false">
      <c r="B22" s="6"/>
    </row>
    <row r="23" customFormat="false" ht="15" hidden="false" customHeight="false" outlineLevel="0" collapsed="false">
      <c r="B23" s="6" t="s">
        <v>128</v>
      </c>
    </row>
    <row r="24" customFormat="false" ht="15" hidden="false" customHeight="false" outlineLevel="0" collapsed="false">
      <c r="B24" s="6" t="s">
        <v>129</v>
      </c>
    </row>
  </sheetData>
  <conditionalFormatting sqref="H13:H16">
    <cfRule type="dataBar" priority="2">
      <dataBar showValue="1" minLength="10" maxLength="90">
        <cfvo type="num" val="-1"/>
        <cfvo type="num" val="0"/>
        <color rgb="FFC00000"/>
      </dataBar>
      <extLst>
        <ext xmlns:x14="http://schemas.microsoft.com/office/spreadsheetml/2009/9/main" uri="{B025F937-C7B1-47D3-B67F-A62EFF666E3E}">
          <x14:id>{B293D6C9-D688-43E7-9E8F-6E9C9883D6E7}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293D6C9-D688-43E7-9E8F-6E9C9883D6E7}">
            <x14:dataBar minLength="10" maxLength="90" axisPosition="none" gradient="true">
              <x14:cfvo type="num">
                <xm:f>-1</xm:f>
              </x14:cfvo>
              <x14:cfvo type="num">
                <xm:f>0</xm:f>
              </x14:cfvo>
              <x14:negativeFillColor rgb="FFC00000"/>
              <x14:axisColor rgb="FF000000"/>
            </x14:dataBar>
          </x14:cfRule>
          <xm:sqref>H13:H16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2026-08-01T16:54:37Z</dcterms:created>
  <dc:creator>openpyxl</dc:creator>
  <dc:description/>
  <dc:language>en-US</dc:language>
  <cp:lastModifiedBy/>
  <dcterms:modified xsi:type="dcterms:W3CDTF">2026-08-01T16:55:31Z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