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ta" sheetId="2" state="visible" r:id="rId4"/>
    <sheet name="Scorecard" sheetId="3" state="visible" r:id="rId5"/>
    <sheet name="Rank Comparison" sheetId="4" state="visible" r:id="rId6"/>
    <sheet name="Segment Mix" sheetId="5" state="visible" r:id="rId7"/>
    <sheet name="KPI Framework" sheetId="6" state="visible" r:id="rId8"/>
  </sheets>
  <definedNames>
    <definedName function="false" hidden="true" localSheetId="1" name="_xlnm._FilterDatabase" vbProcedure="false">Data!$A$1:$E$41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<sst xmlns="http://schemas.openxmlformats.org/spreadsheetml/2006/main" count="286" uniqueCount="148">
  <si>
    <t xml:space="preserve">REPRESENTATIVE PERFORMANCE SCORECARD &amp; KPI FRAMEWORK</t>
  </si>
  <si>
    <t xml:space="preserve">Digital asset exchange · June 2026 · 20 representatives</t>
  </si>
  <si>
    <t xml:space="preserve">PURPOSE</t>
  </si>
  <si>
    <t xml:space="preserve">Measure representative performance on margin contribution rather than transaction volume, and define the</t>
  </si>
  <si>
    <t xml:space="preserve">KPI framework that supports it — what is measured, how it is calculated, what the target is, and how often</t>
  </si>
  <si>
    <t xml:space="preserve">it is reviewed.</t>
  </si>
  <si>
    <t xml:space="preserve">THE CENTRAL FINDING</t>
  </si>
  <si>
    <t xml:space="preserve">The volume leaderboard and the margin leaderboard are not the same list. One representative earns the</t>
  </si>
  <si>
    <t xml:space="preserve">highest profit per trade in the team while running the lowest margin of anyone, because they handle large</t>
  </si>
  <si>
    <t xml:space="preserve">thin-spread crypto tickets. Ranked on volume they look like a top performer; ranked on margin they dilute it.</t>
  </si>
  <si>
    <t xml:space="preserve">Margin across the team ranges from 1.44% to 2.56% — a 78% spread on the same product set.</t>
  </si>
  <si>
    <t xml:space="preserve">SHEETS</t>
  </si>
  <si>
    <t xml:space="preserve">Scorecard        all representatives ranked on profit, with margin and profit per trade</t>
  </si>
  <si>
    <t xml:space="preserve">Rank Comparison  volume rank against margin rank, and the gap between them</t>
  </si>
  <si>
    <t xml:space="preserve">Segment Mix      each representative's crypto against gift card split — this explains the margin gap</t>
  </si>
  <si>
    <t xml:space="preserve">KPI Framework    definition, formula, target and review cadence for each measure</t>
  </si>
  <si>
    <t xml:space="preserve">METHOD</t>
  </si>
  <si>
    <t xml:space="preserve">Transactions attributed by REP ID. 67 rows carried no representative and are grouped as UNASSIGNED, shown</t>
  </si>
  <si>
    <t xml:space="preserve">for completeness but excluded from ranking. All aggregation by live SUMIFS against the Data sheet.</t>
  </si>
  <si>
    <t xml:space="preserve">Prepared by</t>
  </si>
  <si>
    <t xml:space="preserve">Ifedayo Peter Oluwaseun · Accountant &amp; Financial Analyst</t>
  </si>
  <si>
    <t xml:space="preserve">Source</t>
  </si>
  <si>
    <t xml:space="preserve">Anonymised transaction extract, June 2026 — demonstration project.</t>
  </si>
  <si>
    <t xml:space="preserve">Convention</t>
  </si>
  <si>
    <t xml:space="preserve">Blue text = input or assumption · Black = formula · Yellow fill = review</t>
  </si>
  <si>
    <t xml:space="preserve">Note</t>
  </si>
  <si>
    <t xml:space="preserve">Demonstration project on an anonymised extract. Representative identifiers are codes, not names.</t>
  </si>
  <si>
    <t xml:space="preserve">DATA PROTECTION</t>
  </si>
  <si>
    <t xml:space="preserve">Customer, representative and payout-account identifiers have been replaced with surrogate codes</t>
  </si>
  <si>
    <t xml:space="preserve">assigned in random order, so they carry no information about the originals. Blockchain settlement</t>
  </si>
  <si>
    <t xml:space="preserve">references are redacted entirely. The source organisation is not named anywhere in this workbook.</t>
  </si>
  <si>
    <t xml:space="preserve">Monetary values, dates, products, counts and every derived metric are UNCHANGED. The analysis and</t>
  </si>
  <si>
    <t xml:space="preserve">all findings are real; only the identifiers are surrogate.</t>
  </si>
  <si>
    <t xml:space="preserve">Rep ID</t>
  </si>
  <si>
    <t xml:space="preserve">Class</t>
  </si>
  <si>
    <t xml:space="preserve">Transactions</t>
  </si>
  <si>
    <t xml:space="preserve">Gross Volume</t>
  </si>
  <si>
    <t xml:space="preserve">Gross Profit</t>
  </si>
  <si>
    <t xml:space="preserve">REP-01</t>
  </si>
  <si>
    <t xml:space="preserve">Crypto</t>
  </si>
  <si>
    <t xml:space="preserve">Gift Card</t>
  </si>
  <si>
    <t xml:space="preserve">REP-02</t>
  </si>
  <si>
    <t xml:space="preserve">REP-03</t>
  </si>
  <si>
    <t xml:space="preserve">REP-04</t>
  </si>
  <si>
    <t xml:space="preserve">REP-05</t>
  </si>
  <si>
    <t xml:space="preserve">REP-06</t>
  </si>
  <si>
    <t xml:space="preserve">REP-07</t>
  </si>
  <si>
    <t xml:space="preserve">REP-08</t>
  </si>
  <si>
    <t xml:space="preserve">REP-09</t>
  </si>
  <si>
    <t xml:space="preserve">REP-10</t>
  </si>
  <si>
    <t xml:space="preserve">REP-11</t>
  </si>
  <si>
    <t xml:space="preserve">REP-12</t>
  </si>
  <si>
    <t xml:space="preserve">REP-13</t>
  </si>
  <si>
    <t xml:space="preserve">REP-14</t>
  </si>
  <si>
    <t xml:space="preserve">REP-15</t>
  </si>
  <si>
    <t xml:space="preserve">REP-16</t>
  </si>
  <si>
    <t xml:space="preserve">REP-17</t>
  </si>
  <si>
    <t xml:space="preserve">REP-18</t>
  </si>
  <si>
    <t xml:space="preserve">REP-19</t>
  </si>
  <si>
    <t xml:space="preserve">UNASSIGNED</t>
  </si>
  <si>
    <t xml:space="preserve">REPRESENTATIVE SCORECARD</t>
  </si>
  <si>
    <t xml:space="preserve">Ranked by gross profit · margin measured against the team average</t>
  </si>
  <si>
    <t xml:space="preserve">Rank</t>
  </si>
  <si>
    <t xml:space="preserve">Margin</t>
  </si>
  <si>
    <t xml:space="preserve">Profit / Trade</t>
  </si>
  <si>
    <t xml:space="preserve">Avg Ticket</t>
  </si>
  <si>
    <t xml:space="preserve">% of Team Profit</t>
  </si>
  <si>
    <t xml:space="preserve">Margin vs Team</t>
  </si>
  <si>
    <t xml:space="preserve">—</t>
  </si>
  <si>
    <t xml:space="preserve">Team</t>
  </si>
  <si>
    <t xml:space="preserve">Red margin = below the team average. Volume and margin rank differently — see Rank Comparison.</t>
  </si>
  <si>
    <t xml:space="preserve">VOLUME RANK AGAINST MARGIN RANK</t>
  </si>
  <si>
    <t xml:space="preserve">Where measuring the wrong thing would mislead you</t>
  </si>
  <si>
    <t xml:space="preserve">Volume Rank</t>
  </si>
  <si>
    <t xml:space="preserve">Margin Rank</t>
  </si>
  <si>
    <t xml:space="preserve">Rank Gap</t>
  </si>
  <si>
    <t xml:space="preserve">Read</t>
  </si>
  <si>
    <t xml:space="preserve">HOW TO READ THIS</t>
  </si>
  <si>
    <t xml:space="preserve">Rank Gap = volume rank minus margin rank. A large negative gap means the representative ranks much better on</t>
  </si>
  <si>
    <t xml:space="preserve">volume than on margin — they move a lot of money at a thin spread. A large positive gap means the opposite:</t>
  </si>
  <si>
    <t xml:space="preserve">a smaller book earning a better spread, which volume-based reporting would undervalue.</t>
  </si>
  <si>
    <t xml:space="preserve">Commercial point: if commission or recognition is driven by volume, the incentive rewards the thin-margin</t>
  </si>
  <si>
    <t xml:space="preserve">crypto book — precisely the flow the business should be repricing. Segment Mix shows why.</t>
  </si>
  <si>
    <t xml:space="preserve">SEGMENT MIX BY REPRESENTATIVE</t>
  </si>
  <si>
    <t xml:space="preserve">The explanation for the margin spread</t>
  </si>
  <si>
    <t xml:space="preserve">Crypto Volume</t>
  </si>
  <si>
    <t xml:space="preserve">Gift Card Volume</t>
  </si>
  <si>
    <t xml:space="preserve">Total Volume</t>
  </si>
  <si>
    <t xml:space="preserve">Crypto Share</t>
  </si>
  <si>
    <t xml:space="preserve">Crypto Profit</t>
  </si>
  <si>
    <t xml:space="preserve">Gift Card Profit</t>
  </si>
  <si>
    <t xml:space="preserve">Blended Margin</t>
  </si>
  <si>
    <t xml:space="preserve">The higher the crypto share, the lower the blended margin. The relationship is close to mechanical:</t>
  </si>
  <si>
    <t xml:space="preserve">crypto earns roughly 0.73% against roughly 2.77% on gift cards, so mix — not skill — drives most of the spread.</t>
  </si>
  <si>
    <t xml:space="preserve">Implication for management: judge representatives on margin within segment, not blended margin across</t>
  </si>
  <si>
    <t xml:space="preserve">segments. Otherwise you are grading them on the book they were allocated rather than how they worked it.</t>
  </si>
  <si>
    <t xml:space="preserve">KPI FRAMEWORK</t>
  </si>
  <si>
    <t xml:space="preserve">Definition, calculation, target and review cadence</t>
  </si>
  <si>
    <t xml:space="preserve">#</t>
  </si>
  <si>
    <t xml:space="preserve">KPI</t>
  </si>
  <si>
    <t xml:space="preserve">Definition</t>
  </si>
  <si>
    <t xml:space="preserve">Formula</t>
  </si>
  <si>
    <t xml:space="preserve">Target</t>
  </si>
  <si>
    <t xml:space="preserve">Cadence</t>
  </si>
  <si>
    <t xml:space="preserve">Owner</t>
  </si>
  <si>
    <t xml:space="preserve">Why It Matters</t>
  </si>
  <si>
    <t xml:space="preserve">Total value of settled transactions attributed to the representative</t>
  </si>
  <si>
    <t xml:space="preserve">SUM of gross volume</t>
  </si>
  <si>
    <t xml:space="preserve">Growth on prior month</t>
  </si>
  <si>
    <t xml:space="preserve">Weekly</t>
  </si>
  <si>
    <t xml:space="preserve">Team Lead</t>
  </si>
  <si>
    <t xml:space="preserve">Activity measure only — never a performance measure on its own</t>
  </si>
  <si>
    <t xml:space="preserve">Margin earned on attributed transactions</t>
  </si>
  <si>
    <t xml:space="preserve">SUM of profit</t>
  </si>
  <si>
    <t xml:space="preserve">Set per representative from segment mix</t>
  </si>
  <si>
    <t xml:space="preserve">The primary contribution measure</t>
  </si>
  <si>
    <t xml:space="preserve">Margin %</t>
  </si>
  <si>
    <t xml:space="preserve">Profit as a share of volume</t>
  </si>
  <si>
    <t xml:space="preserve">Profit / Volume</t>
  </si>
  <si>
    <t xml:space="preserve">At or above team average</t>
  </si>
  <si>
    <t xml:space="preserve">Finance</t>
  </si>
  <si>
    <t xml:space="preserve">Detects volume chased at the expense of spread</t>
  </si>
  <si>
    <t xml:space="preserve">Profit per Trade</t>
  </si>
  <si>
    <t xml:space="preserve">Average margin earned per transaction</t>
  </si>
  <si>
    <t xml:space="preserve">Profit / Transactions</t>
  </si>
  <si>
    <t xml:space="preserve">Benchmark within segment</t>
  </si>
  <si>
    <t xml:space="preserve">Distinguishes ticket size from pricing quality</t>
  </si>
  <si>
    <t xml:space="preserve">Crypto volume as a share of the representative's book</t>
  </si>
  <si>
    <t xml:space="preserve">Crypto Volume / Total Volume</t>
  </si>
  <si>
    <t xml:space="preserve">Monitored, not targeted</t>
  </si>
  <si>
    <t xml:space="preserve">Monthly</t>
  </si>
  <si>
    <t xml:space="preserve">Explains most of the margin variance between representatives</t>
  </si>
  <si>
    <t xml:space="preserve">Attribution Rate</t>
  </si>
  <si>
    <t xml:space="preserve">Share of transactions with a representative recorded</t>
  </si>
  <si>
    <t xml:space="preserve">Attributed Transactions / Total</t>
  </si>
  <si>
    <t xml:space="preserve">100%</t>
  </si>
  <si>
    <t xml:space="preserve">Operations</t>
  </si>
  <si>
    <t xml:space="preserve">67 unattributed rows this period — profit that cannot be credited to anyone</t>
  </si>
  <si>
    <t xml:space="preserve">Exception Rate</t>
  </si>
  <si>
    <t xml:space="preserve">Share of the representative's transactions carrying a data or control flag</t>
  </si>
  <si>
    <t xml:space="preserve">Flagged / Total</t>
  </si>
  <si>
    <t xml:space="preserve">Below 1%</t>
  </si>
  <si>
    <t xml:space="preserve">Links performance management to data discipline</t>
  </si>
  <si>
    <t xml:space="preserve">Settlement Verification</t>
  </si>
  <si>
    <t xml:space="preserve">Share of crypto payouts with a blockchain hash recorded</t>
  </si>
  <si>
    <t xml:space="preserve">Hashed / Crypto Transactions</t>
  </si>
  <si>
    <t xml:space="preserve">Treasury</t>
  </si>
  <si>
    <t xml:space="preserve">A control measure, not a sales measure — but it belongs to whoever books the trade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</si>
</sst>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\(#,##0\);\-"/>
    <numFmt numFmtId="166" formatCode="#,##0.00;\(#,##0.00\);\-"/>
    <numFmt numFmtId="167" formatCode="0.000%;\(0.000%\);\-"/>
    <numFmt numFmtId="168" formatCode="0.00%;\(0.00%\);\-"/>
    <numFmt numFmtId="169" formatCode="\+0;\-0;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1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color rgb="FFC00000"/>
        <sz val="10"/>
      </font>
    </dxf>
    <dxf>
      <font>
        <name val="Arial"/>
        <charset val="1"/>
        <family val="0"/>
        <b val="1"/>
        <color rgb="FFC00000"/>
        <sz val="1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Gross profit by representative (NGN)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Scorecard!F4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Scorecard!$C$5:$C$24</c:f>
              <c:strCache>
                <c:ptCount val="20"/>
                <c:pt idx="0">
                  <c:v>REP-16</c:v>
                </c:pt>
                <c:pt idx="1">
                  <c:v>REP-14</c:v>
                </c:pt>
                <c:pt idx="2">
                  <c:v>REP-07</c:v>
                </c:pt>
                <c:pt idx="3">
                  <c:v>REP-19</c:v>
                </c:pt>
                <c:pt idx="4">
                  <c:v>REP-03</c:v>
                </c:pt>
                <c:pt idx="5">
                  <c:v>REP-18</c:v>
                </c:pt>
                <c:pt idx="6">
                  <c:v>REP-08</c:v>
                </c:pt>
                <c:pt idx="7">
                  <c:v>REP-04</c:v>
                </c:pt>
                <c:pt idx="8">
                  <c:v>REP-17</c:v>
                </c:pt>
                <c:pt idx="9">
                  <c:v>REP-06</c:v>
                </c:pt>
                <c:pt idx="10">
                  <c:v>REP-15</c:v>
                </c:pt>
                <c:pt idx="11">
                  <c:v>REP-09</c:v>
                </c:pt>
                <c:pt idx="12">
                  <c:v>REP-05</c:v>
                </c:pt>
                <c:pt idx="13">
                  <c:v>REP-01</c:v>
                </c:pt>
                <c:pt idx="14">
                  <c:v>REP-10</c:v>
                </c:pt>
                <c:pt idx="15">
                  <c:v>REP-13</c:v>
                </c:pt>
                <c:pt idx="16">
                  <c:v>REP-12</c:v>
                </c:pt>
                <c:pt idx="17">
                  <c:v>REP-02</c:v>
                </c:pt>
                <c:pt idx="18">
                  <c:v>REP-11</c:v>
                </c:pt>
                <c:pt idx="19">
                  <c:v>UNASSIGNED</c:v>
                </c:pt>
              </c:strCache>
            </c:strRef>
          </c:cat>
          <c:val>
            <c:numRef>
              <c:f>Scorecard!$F$5:$F$24</c:f>
              <c:numCache>
                <c:formatCode>#,##0;\(#,##0\);\-</c:formatCode>
                <c:ptCount val="20"/>
                <c:pt idx="0">
                  <c:v>6664907.55</c:v>
                </c:pt>
                <c:pt idx="1">
                  <c:v>6177874.79</c:v>
                </c:pt>
                <c:pt idx="2">
                  <c:v>5056849.3</c:v>
                </c:pt>
                <c:pt idx="3">
                  <c:v>5045718.5</c:v>
                </c:pt>
                <c:pt idx="4">
                  <c:v>5025388.78</c:v>
                </c:pt>
                <c:pt idx="5">
                  <c:v>4998182.23</c:v>
                </c:pt>
                <c:pt idx="6">
                  <c:v>4330802</c:v>
                </c:pt>
                <c:pt idx="7">
                  <c:v>4085008.85</c:v>
                </c:pt>
                <c:pt idx="8">
                  <c:v>3719434.24</c:v>
                </c:pt>
                <c:pt idx="9">
                  <c:v>3308451.79</c:v>
                </c:pt>
                <c:pt idx="10">
                  <c:v>2584392.52</c:v>
                </c:pt>
                <c:pt idx="11">
                  <c:v>1610972.9499</c:v>
                </c:pt>
                <c:pt idx="12">
                  <c:v>1503133.07</c:v>
                </c:pt>
                <c:pt idx="13">
                  <c:v>1435233.37</c:v>
                </c:pt>
                <c:pt idx="14">
                  <c:v>1384250.38</c:v>
                </c:pt>
                <c:pt idx="15">
                  <c:v>1313391.99</c:v>
                </c:pt>
                <c:pt idx="16">
                  <c:v>1292042.25</c:v>
                </c:pt>
                <c:pt idx="17">
                  <c:v>1067577.24</c:v>
                </c:pt>
                <c:pt idx="18">
                  <c:v>90000</c:v>
                </c:pt>
                <c:pt idx="19">
                  <c:v>198772.09</c:v>
                </c:pt>
              </c:numCache>
            </c:numRef>
          </c:val>
        </c:ser>
        <c:gapWidth val="150"/>
        <c:overlap val="0"/>
        <c:axId val="72189553"/>
        <c:axId val="8487997"/>
      </c:barChart>
      <c:catAx>
        <c:axId val="721895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87997"/>
        <c:crosses val="autoZero"/>
        <c:auto val="1"/>
        <c:lblAlgn val="ctr"/>
        <c:lblOffset val="100"/>
        <c:noMultiLvlLbl val="0"/>
      </c:catAx>
      <c:valAx>
        <c:axId val="848799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21895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18360</xdr:rowOff>
    </xdr:from>
    <xdr:to>
      <xdr:col>10</xdr:col>
      <xdr:colOff>964440</xdr:colOff>
      <xdr:row>44</xdr:row>
      <xdr:rowOff>19800</xdr:rowOff>
    </xdr:to>
    <xdr:graphicFrame>
      <xdr:nvGraphicFramePr>
        <xdr:cNvPr id="0" name="Chart 1"/>
        <xdr:cNvGraphicFramePr/>
      </xdr:nvGraphicFramePr>
      <xdr:xfrm>
        <a:off x="704880" y="5334120"/>
        <a:ext cx="89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9" min="2" style="0" width="1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  <c r="I5" s="4"/>
    </row>
    <row r="6" customFormat="false" ht="15" hidden="false" customHeight="true" outlineLevel="0" collapsed="false">
      <c r="A6" s="4" t="s">
        <v>4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true" outlineLevel="0" collapsed="false">
      <c r="A7" s="4" t="s">
        <v>5</v>
      </c>
      <c r="B7" s="4"/>
      <c r="C7" s="4"/>
      <c r="D7" s="4"/>
      <c r="E7" s="4"/>
      <c r="F7" s="4"/>
      <c r="G7" s="4"/>
      <c r="H7" s="4"/>
      <c r="I7" s="4"/>
    </row>
    <row r="9" customFormat="false" ht="15" hidden="false" customHeight="false" outlineLevel="0" collapsed="false">
      <c r="A9" s="3" t="s">
        <v>6</v>
      </c>
    </row>
    <row r="10" customFormat="false" ht="15" hidden="false" customHeight="true" outlineLevel="0" collapsed="false">
      <c r="A10" s="4" t="s">
        <v>7</v>
      </c>
      <c r="B10" s="4"/>
      <c r="C10" s="4"/>
      <c r="D10" s="4"/>
      <c r="E10" s="4"/>
      <c r="F10" s="4"/>
      <c r="G10" s="4"/>
      <c r="H10" s="4"/>
      <c r="I10" s="4"/>
    </row>
    <row r="11" customFormat="false" ht="15" hidden="false" customHeight="true" outlineLevel="0" collapsed="false">
      <c r="A11" s="4" t="s">
        <v>8</v>
      </c>
      <c r="B11" s="4"/>
      <c r="C11" s="4"/>
      <c r="D11" s="4"/>
      <c r="E11" s="4"/>
      <c r="F11" s="4"/>
      <c r="G11" s="4"/>
      <c r="H11" s="4"/>
      <c r="I11" s="4"/>
    </row>
    <row r="12" customFormat="false" ht="15" hidden="false" customHeight="true" outlineLevel="0" collapsed="false">
      <c r="A12" s="4" t="s">
        <v>9</v>
      </c>
      <c r="B12" s="4"/>
      <c r="C12" s="4"/>
      <c r="D12" s="4"/>
      <c r="E12" s="4"/>
      <c r="F12" s="4"/>
      <c r="G12" s="4"/>
      <c r="H12" s="4"/>
      <c r="I12" s="4"/>
    </row>
    <row r="13" customFormat="false" ht="15" hidden="false" customHeight="true" outlineLevel="0" collapsed="false">
      <c r="A13" s="4" t="s">
        <v>10</v>
      </c>
      <c r="B13" s="4"/>
      <c r="C13" s="4"/>
      <c r="D13" s="4"/>
      <c r="E13" s="4"/>
      <c r="F13" s="4"/>
      <c r="G13" s="4"/>
      <c r="H13" s="4"/>
      <c r="I13" s="4"/>
    </row>
    <row r="15" customFormat="false" ht="15" hidden="false" customHeight="false" outlineLevel="0" collapsed="false">
      <c r="A15" s="3" t="s">
        <v>11</v>
      </c>
    </row>
    <row r="16" customFormat="false" ht="15" hidden="false" customHeight="true" outlineLevel="0" collapsed="false">
      <c r="A16" s="4" t="s">
        <v>12</v>
      </c>
      <c r="B16" s="4"/>
      <c r="C16" s="4"/>
      <c r="D16" s="4"/>
      <c r="E16" s="4"/>
      <c r="F16" s="4"/>
      <c r="G16" s="4"/>
      <c r="H16" s="4"/>
      <c r="I16" s="4"/>
    </row>
    <row r="17" customFormat="false" ht="15" hidden="false" customHeight="true" outlineLevel="0" collapsed="false">
      <c r="A17" s="4" t="s">
        <v>13</v>
      </c>
      <c r="B17" s="4"/>
      <c r="C17" s="4"/>
      <c r="D17" s="4"/>
      <c r="E17" s="4"/>
      <c r="F17" s="4"/>
      <c r="G17" s="4"/>
      <c r="H17" s="4"/>
      <c r="I17" s="4"/>
    </row>
    <row r="18" customFormat="false" ht="15" hidden="false" customHeight="true" outlineLevel="0" collapsed="false">
      <c r="A18" s="4" t="s">
        <v>14</v>
      </c>
      <c r="B18" s="4"/>
      <c r="C18" s="4"/>
      <c r="D18" s="4"/>
      <c r="E18" s="4"/>
      <c r="F18" s="4"/>
      <c r="G18" s="4"/>
      <c r="H18" s="4"/>
      <c r="I18" s="4"/>
    </row>
    <row r="19" customFormat="false" ht="15" hidden="false" customHeight="true" outlineLevel="0" collapsed="false">
      <c r="A19" s="4" t="s">
        <v>15</v>
      </c>
      <c r="B19" s="4"/>
      <c r="C19" s="4"/>
      <c r="D19" s="4"/>
      <c r="E19" s="4"/>
      <c r="F19" s="4"/>
      <c r="G19" s="4"/>
      <c r="H19" s="4"/>
      <c r="I19" s="4"/>
    </row>
    <row r="21" customFormat="false" ht="15" hidden="false" customHeight="false" outlineLevel="0" collapsed="false">
      <c r="A21" s="3" t="s">
        <v>16</v>
      </c>
    </row>
    <row r="22" customFormat="false" ht="15" hidden="false" customHeight="true" outlineLevel="0" collapsed="false">
      <c r="A22" s="4" t="s">
        <v>17</v>
      </c>
      <c r="B22" s="4"/>
      <c r="C22" s="4"/>
      <c r="D22" s="4"/>
      <c r="E22" s="4"/>
      <c r="F22" s="4"/>
      <c r="G22" s="4"/>
      <c r="H22" s="4"/>
      <c r="I22" s="4"/>
    </row>
    <row r="23" customFormat="false" ht="15" hidden="false" customHeight="true" outlineLevel="0" collapsed="false">
      <c r="A23" s="4" t="s">
        <v>18</v>
      </c>
      <c r="B23" s="4"/>
      <c r="C23" s="4"/>
      <c r="D23" s="4"/>
      <c r="E23" s="4"/>
      <c r="F23" s="4"/>
      <c r="G23" s="4"/>
      <c r="H23" s="4"/>
      <c r="I23" s="4"/>
    </row>
    <row r="26" customFormat="false" ht="15" hidden="false" customHeight="false" outlineLevel="0" collapsed="false">
      <c r="A26" s="5" t="s">
        <v>19</v>
      </c>
      <c r="B26" s="6" t="s">
        <v>20</v>
      </c>
    </row>
    <row r="27" customFormat="false" ht="15" hidden="false" customHeight="false" outlineLevel="0" collapsed="false">
      <c r="A27" s="5" t="s">
        <v>21</v>
      </c>
      <c r="B27" s="6" t="s">
        <v>22</v>
      </c>
    </row>
    <row r="28" customFormat="false" ht="15" hidden="false" customHeight="false" outlineLevel="0" collapsed="false">
      <c r="A28" s="5" t="s">
        <v>23</v>
      </c>
      <c r="B28" s="6" t="s">
        <v>24</v>
      </c>
    </row>
    <row r="29" customFormat="false" ht="15" hidden="false" customHeight="false" outlineLevel="0" collapsed="false">
      <c r="A29" s="5" t="s">
        <v>25</v>
      </c>
      <c r="B29" s="7" t="s">
        <v>26</v>
      </c>
    </row>
    <row r="31" customFormat="false" ht="15" hidden="false" customHeight="false" outlineLevel="0" collapsed="false">
      <c r="A31" s="3" t="s">
        <v>27</v>
      </c>
    </row>
    <row r="32" customFormat="false" ht="15" hidden="false" customHeight="false" outlineLevel="0" collapsed="false">
      <c r="A32" s="6" t="s">
        <v>28</v>
      </c>
    </row>
    <row r="33" customFormat="false" ht="15" hidden="false" customHeight="false" outlineLevel="0" collapsed="false">
      <c r="A33" s="6" t="s">
        <v>29</v>
      </c>
    </row>
    <row r="34" customFormat="false" ht="15" hidden="false" customHeight="false" outlineLevel="0" collapsed="false">
      <c r="A34" s="6" t="s">
        <v>30</v>
      </c>
    </row>
    <row r="35" customFormat="false" ht="15" hidden="false" customHeight="false" outlineLevel="0" collapsed="false">
      <c r="A35" s="6"/>
    </row>
    <row r="36" customFormat="false" ht="15" hidden="false" customHeight="false" outlineLevel="0" collapsed="false">
      <c r="A36" s="6" t="s">
        <v>31</v>
      </c>
    </row>
    <row r="37" customFormat="false" ht="15" hidden="false" customHeight="false" outlineLevel="0" collapsed="false">
      <c r="A37" s="6" t="s">
        <v>32</v>
      </c>
    </row>
  </sheetData>
  <mergeCells count="13">
    <mergeCell ref="A5:I5"/>
    <mergeCell ref="A6:I6"/>
    <mergeCell ref="A7:I7"/>
    <mergeCell ref="A10:I10"/>
    <mergeCell ref="A11:I11"/>
    <mergeCell ref="A12:I12"/>
    <mergeCell ref="A13:I13"/>
    <mergeCell ref="A16:I16"/>
    <mergeCell ref="A17:I17"/>
    <mergeCell ref="A18:I18"/>
    <mergeCell ref="A19:I19"/>
    <mergeCell ref="A22:I22"/>
    <mergeCell ref="A23:I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5" min="4" style="0" width="18"/>
  </cols>
  <sheetData>
    <row r="1" customFormat="false" ht="15" hidden="false" customHeight="false" outlineLevel="0" collapsed="false">
      <c r="A1" s="8" t="s">
        <v>33</v>
      </c>
      <c r="B1" s="8" t="s">
        <v>34</v>
      </c>
      <c r="C1" s="8" t="s">
        <v>35</v>
      </c>
      <c r="D1" s="8" t="s">
        <v>36</v>
      </c>
      <c r="E1" s="8" t="s">
        <v>37</v>
      </c>
    </row>
    <row r="2" customFormat="false" ht="15" hidden="false" customHeight="false" outlineLevel="0" collapsed="false">
      <c r="A2" s="9" t="s">
        <v>38</v>
      </c>
      <c r="B2" s="9" t="s">
        <v>39</v>
      </c>
      <c r="C2" s="10" t="n">
        <v>74</v>
      </c>
      <c r="D2" s="11" t="n">
        <v>17853716.77</v>
      </c>
      <c r="E2" s="11" t="n">
        <v>131558.37</v>
      </c>
    </row>
    <row r="3" customFormat="false" ht="15" hidden="false" customHeight="false" outlineLevel="0" collapsed="false">
      <c r="A3" s="9" t="s">
        <v>38</v>
      </c>
      <c r="B3" s="9" t="s">
        <v>40</v>
      </c>
      <c r="C3" s="10" t="n">
        <v>257</v>
      </c>
      <c r="D3" s="11" t="n">
        <v>46655875</v>
      </c>
      <c r="E3" s="11" t="n">
        <v>1303675</v>
      </c>
    </row>
    <row r="4" customFormat="false" ht="15" hidden="false" customHeight="false" outlineLevel="0" collapsed="false">
      <c r="A4" s="9" t="s">
        <v>41</v>
      </c>
      <c r="B4" s="9" t="s">
        <v>39</v>
      </c>
      <c r="C4" s="10" t="n">
        <v>124</v>
      </c>
      <c r="D4" s="11" t="n">
        <v>46075961.24</v>
      </c>
      <c r="E4" s="11" t="n">
        <v>335744.24</v>
      </c>
    </row>
    <row r="5" customFormat="false" ht="15" hidden="false" customHeight="false" outlineLevel="0" collapsed="false">
      <c r="A5" s="9" t="s">
        <v>41</v>
      </c>
      <c r="B5" s="9" t="s">
        <v>40</v>
      </c>
      <c r="C5" s="10" t="n">
        <v>224</v>
      </c>
      <c r="D5" s="11" t="n">
        <v>26022203</v>
      </c>
      <c r="E5" s="11" t="n">
        <v>731833</v>
      </c>
    </row>
    <row r="6" customFormat="false" ht="15" hidden="false" customHeight="false" outlineLevel="0" collapsed="false">
      <c r="A6" s="9" t="s">
        <v>42</v>
      </c>
      <c r="B6" s="9" t="s">
        <v>39</v>
      </c>
      <c r="C6" s="10" t="n">
        <v>339</v>
      </c>
      <c r="D6" s="11" t="n">
        <v>178743509.48</v>
      </c>
      <c r="E6" s="11" t="n">
        <v>1297191.58</v>
      </c>
    </row>
    <row r="7" customFormat="false" ht="15" hidden="false" customHeight="false" outlineLevel="0" collapsed="false">
      <c r="A7" s="9" t="s">
        <v>42</v>
      </c>
      <c r="B7" s="9" t="s">
        <v>40</v>
      </c>
      <c r="C7" s="10" t="n">
        <v>787</v>
      </c>
      <c r="D7" s="11" t="n">
        <v>134345910.2</v>
      </c>
      <c r="E7" s="11" t="n">
        <v>3728197.2</v>
      </c>
    </row>
    <row r="8" customFormat="false" ht="15" hidden="false" customHeight="false" outlineLevel="0" collapsed="false">
      <c r="A8" s="9" t="s">
        <v>43</v>
      </c>
      <c r="B8" s="9" t="s">
        <v>39</v>
      </c>
      <c r="C8" s="10" t="n">
        <v>264</v>
      </c>
      <c r="D8" s="11" t="n">
        <v>143018461.96</v>
      </c>
      <c r="E8" s="11" t="n">
        <v>1038054.76</v>
      </c>
    </row>
    <row r="9" customFormat="false" ht="15" hidden="false" customHeight="false" outlineLevel="0" collapsed="false">
      <c r="A9" s="9" t="s">
        <v>43</v>
      </c>
      <c r="B9" s="9" t="s">
        <v>40</v>
      </c>
      <c r="C9" s="10" t="n">
        <v>595</v>
      </c>
      <c r="D9" s="11" t="n">
        <v>107877159.39</v>
      </c>
      <c r="E9" s="11" t="n">
        <v>3046954.09</v>
      </c>
    </row>
    <row r="10" customFormat="false" ht="15" hidden="false" customHeight="false" outlineLevel="0" collapsed="false">
      <c r="A10" s="9" t="s">
        <v>44</v>
      </c>
      <c r="B10" s="9" t="s">
        <v>39</v>
      </c>
      <c r="C10" s="10" t="n">
        <v>124</v>
      </c>
      <c r="D10" s="11" t="n">
        <v>40180981.67</v>
      </c>
      <c r="E10" s="11" t="n">
        <v>296474.07</v>
      </c>
    </row>
    <row r="11" customFormat="false" ht="15" hidden="false" customHeight="false" outlineLevel="0" collapsed="false">
      <c r="A11" s="9" t="s">
        <v>44</v>
      </c>
      <c r="B11" s="9" t="s">
        <v>40</v>
      </c>
      <c r="C11" s="10" t="n">
        <v>307</v>
      </c>
      <c r="D11" s="11" t="n">
        <v>43428659</v>
      </c>
      <c r="E11" s="11" t="n">
        <v>1206659</v>
      </c>
    </row>
    <row r="12" customFormat="false" ht="15" hidden="false" customHeight="false" outlineLevel="0" collapsed="false">
      <c r="A12" s="9" t="s">
        <v>45</v>
      </c>
      <c r="B12" s="9" t="s">
        <v>39</v>
      </c>
      <c r="C12" s="10" t="n">
        <v>157</v>
      </c>
      <c r="D12" s="11" t="n">
        <v>148417315.05</v>
      </c>
      <c r="E12" s="11" t="n">
        <v>1081331.45</v>
      </c>
    </row>
    <row r="13" customFormat="false" ht="15" hidden="false" customHeight="false" outlineLevel="0" collapsed="false">
      <c r="A13" s="9" t="s">
        <v>45</v>
      </c>
      <c r="B13" s="9" t="s">
        <v>40</v>
      </c>
      <c r="C13" s="10" t="n">
        <v>433</v>
      </c>
      <c r="D13" s="11" t="n">
        <v>81662444.44</v>
      </c>
      <c r="E13" s="11" t="n">
        <v>2227120.34</v>
      </c>
    </row>
    <row r="14" customFormat="false" ht="15" hidden="false" customHeight="false" outlineLevel="0" collapsed="false">
      <c r="A14" s="9" t="s">
        <v>46</v>
      </c>
      <c r="B14" s="9" t="s">
        <v>39</v>
      </c>
      <c r="C14" s="10" t="n">
        <v>395</v>
      </c>
      <c r="D14" s="11" t="n">
        <v>125566371.9</v>
      </c>
      <c r="E14" s="11" t="n">
        <v>917472.799999998</v>
      </c>
    </row>
    <row r="15" customFormat="false" ht="15" hidden="false" customHeight="false" outlineLevel="0" collapsed="false">
      <c r="A15" s="9" t="s">
        <v>46</v>
      </c>
      <c r="B15" s="9" t="s">
        <v>40</v>
      </c>
      <c r="C15" s="10" t="n">
        <v>929</v>
      </c>
      <c r="D15" s="11" t="n">
        <v>148176254</v>
      </c>
      <c r="E15" s="11" t="n">
        <v>4139376.5</v>
      </c>
    </row>
    <row r="16" customFormat="false" ht="15" hidden="false" customHeight="false" outlineLevel="0" collapsed="false">
      <c r="A16" s="9" t="s">
        <v>47</v>
      </c>
      <c r="B16" s="9" t="s">
        <v>39</v>
      </c>
      <c r="C16" s="10" t="n">
        <v>401</v>
      </c>
      <c r="D16" s="11" t="n">
        <v>127888130.4</v>
      </c>
      <c r="E16" s="11" t="n">
        <v>931080</v>
      </c>
    </row>
    <row r="17" customFormat="false" ht="15" hidden="false" customHeight="false" outlineLevel="0" collapsed="false">
      <c r="A17" s="9" t="s">
        <v>47</v>
      </c>
      <c r="B17" s="9" t="s">
        <v>40</v>
      </c>
      <c r="C17" s="10" t="n">
        <v>741</v>
      </c>
      <c r="D17" s="11" t="n">
        <v>120682162</v>
      </c>
      <c r="E17" s="11" t="n">
        <v>3399722</v>
      </c>
    </row>
    <row r="18" customFormat="false" ht="15" hidden="false" customHeight="false" outlineLevel="0" collapsed="false">
      <c r="A18" s="9" t="s">
        <v>48</v>
      </c>
      <c r="B18" s="9" t="s">
        <v>39</v>
      </c>
      <c r="C18" s="10" t="n">
        <v>230</v>
      </c>
      <c r="D18" s="11" t="n">
        <v>42835812.4229</v>
      </c>
      <c r="E18" s="11" t="n">
        <v>311887.9499</v>
      </c>
    </row>
    <row r="19" customFormat="false" ht="15" hidden="false" customHeight="false" outlineLevel="0" collapsed="false">
      <c r="A19" s="9" t="s">
        <v>48</v>
      </c>
      <c r="B19" s="9" t="s">
        <v>40</v>
      </c>
      <c r="C19" s="10" t="n">
        <v>368</v>
      </c>
      <c r="D19" s="11" t="n">
        <v>54226600</v>
      </c>
      <c r="E19" s="11" t="n">
        <v>1299085</v>
      </c>
    </row>
    <row r="20" customFormat="false" ht="15" hidden="false" customHeight="false" outlineLevel="0" collapsed="false">
      <c r="A20" s="9" t="s">
        <v>49</v>
      </c>
      <c r="B20" s="9" t="s">
        <v>39</v>
      </c>
      <c r="C20" s="10" t="n">
        <v>72</v>
      </c>
      <c r="D20" s="11" t="n">
        <v>43911674.68</v>
      </c>
      <c r="E20" s="11" t="n">
        <v>319515.379999999</v>
      </c>
    </row>
    <row r="21" customFormat="false" ht="15" hidden="false" customHeight="false" outlineLevel="0" collapsed="false">
      <c r="A21" s="9" t="s">
        <v>49</v>
      </c>
      <c r="B21" s="9" t="s">
        <v>40</v>
      </c>
      <c r="C21" s="10" t="n">
        <v>215</v>
      </c>
      <c r="D21" s="11" t="n">
        <v>38819785</v>
      </c>
      <c r="E21" s="11" t="n">
        <v>1064735</v>
      </c>
    </row>
    <row r="22" customFormat="false" ht="15" hidden="false" customHeight="false" outlineLevel="0" collapsed="false">
      <c r="A22" s="9" t="s">
        <v>50</v>
      </c>
      <c r="B22" s="9" t="s">
        <v>39</v>
      </c>
      <c r="C22" s="10" t="n">
        <v>3</v>
      </c>
      <c r="D22" s="11" t="n">
        <v>191646</v>
      </c>
      <c r="E22" s="11" t="n">
        <v>1450</v>
      </c>
    </row>
    <row r="23" customFormat="false" ht="15" hidden="false" customHeight="false" outlineLevel="0" collapsed="false">
      <c r="A23" s="9" t="s">
        <v>50</v>
      </c>
      <c r="B23" s="9" t="s">
        <v>40</v>
      </c>
      <c r="C23" s="10" t="n">
        <v>13</v>
      </c>
      <c r="D23" s="11" t="n">
        <v>3318400</v>
      </c>
      <c r="E23" s="11" t="n">
        <v>88550</v>
      </c>
    </row>
    <row r="24" customFormat="false" ht="15" hidden="false" customHeight="false" outlineLevel="0" collapsed="false">
      <c r="A24" s="9" t="s">
        <v>51</v>
      </c>
      <c r="B24" s="9" t="s">
        <v>39</v>
      </c>
      <c r="C24" s="10" t="n">
        <v>82</v>
      </c>
      <c r="D24" s="11" t="n">
        <v>21172427.35</v>
      </c>
      <c r="E24" s="11" t="n">
        <v>155542.25</v>
      </c>
    </row>
    <row r="25" customFormat="false" ht="15" hidden="false" customHeight="false" outlineLevel="0" collapsed="false">
      <c r="A25" s="9" t="s">
        <v>51</v>
      </c>
      <c r="B25" s="9" t="s">
        <v>40</v>
      </c>
      <c r="C25" s="10" t="n">
        <v>249</v>
      </c>
      <c r="D25" s="11" t="n">
        <v>40983450</v>
      </c>
      <c r="E25" s="11" t="n">
        <v>1136500</v>
      </c>
    </row>
    <row r="26" customFormat="false" ht="15" hidden="false" customHeight="false" outlineLevel="0" collapsed="false">
      <c r="A26" s="9" t="s">
        <v>52</v>
      </c>
      <c r="B26" s="9" t="s">
        <v>39</v>
      </c>
      <c r="C26" s="10" t="n">
        <v>176</v>
      </c>
      <c r="D26" s="11" t="n">
        <v>56215763.99</v>
      </c>
      <c r="E26" s="11" t="n">
        <v>409826.990000001</v>
      </c>
    </row>
    <row r="27" customFormat="false" ht="15" hidden="false" customHeight="false" outlineLevel="0" collapsed="false">
      <c r="A27" s="9" t="s">
        <v>52</v>
      </c>
      <c r="B27" s="9" t="s">
        <v>40</v>
      </c>
      <c r="C27" s="10" t="n">
        <v>267</v>
      </c>
      <c r="D27" s="11" t="n">
        <v>31795565</v>
      </c>
      <c r="E27" s="11" t="n">
        <v>903565</v>
      </c>
    </row>
    <row r="28" customFormat="false" ht="15" hidden="false" customHeight="false" outlineLevel="0" collapsed="false">
      <c r="A28" s="9" t="s">
        <v>53</v>
      </c>
      <c r="B28" s="9" t="s">
        <v>39</v>
      </c>
      <c r="C28" s="10" t="n">
        <v>310</v>
      </c>
      <c r="D28" s="11" t="n">
        <v>192064221.09</v>
      </c>
      <c r="E28" s="11" t="n">
        <v>1396410.79</v>
      </c>
    </row>
    <row r="29" customFormat="false" ht="15" hidden="false" customHeight="false" outlineLevel="0" collapsed="false">
      <c r="A29" s="9" t="s">
        <v>53</v>
      </c>
      <c r="B29" s="9" t="s">
        <v>40</v>
      </c>
      <c r="C29" s="10" t="n">
        <v>989</v>
      </c>
      <c r="D29" s="11" t="n">
        <v>170734624</v>
      </c>
      <c r="E29" s="11" t="n">
        <v>4781464</v>
      </c>
    </row>
    <row r="30" customFormat="false" ht="15" hidden="false" customHeight="false" outlineLevel="0" collapsed="false">
      <c r="A30" s="9" t="s">
        <v>54</v>
      </c>
      <c r="B30" s="9" t="s">
        <v>39</v>
      </c>
      <c r="C30" s="10" t="n">
        <v>229</v>
      </c>
      <c r="D30" s="11" t="n">
        <v>77101672.02</v>
      </c>
      <c r="E30" s="11" t="n">
        <v>557912.519999999</v>
      </c>
    </row>
    <row r="31" customFormat="false" ht="15" hidden="false" customHeight="false" outlineLevel="0" collapsed="false">
      <c r="A31" s="9" t="s">
        <v>54</v>
      </c>
      <c r="B31" s="9" t="s">
        <v>40</v>
      </c>
      <c r="C31" s="10" t="n">
        <v>442</v>
      </c>
      <c r="D31" s="11" t="n">
        <v>75163170</v>
      </c>
      <c r="E31" s="11" t="n">
        <v>2026480</v>
      </c>
    </row>
    <row r="32" customFormat="false" ht="15" hidden="false" customHeight="false" outlineLevel="0" collapsed="false">
      <c r="A32" s="9" t="s">
        <v>55</v>
      </c>
      <c r="B32" s="9" t="s">
        <v>39</v>
      </c>
      <c r="C32" s="10" t="n">
        <v>458</v>
      </c>
      <c r="D32" s="11" t="n">
        <v>161634112.5</v>
      </c>
      <c r="E32" s="11" t="n">
        <v>1177479</v>
      </c>
    </row>
    <row r="33" customFormat="false" ht="15" hidden="false" customHeight="false" outlineLevel="0" collapsed="false">
      <c r="A33" s="9" t="s">
        <v>55</v>
      </c>
      <c r="B33" s="9" t="s">
        <v>40</v>
      </c>
      <c r="C33" s="10" t="n">
        <v>1089</v>
      </c>
      <c r="D33" s="11" t="n">
        <v>195500707.05</v>
      </c>
      <c r="E33" s="11" t="n">
        <v>5487428.55</v>
      </c>
    </row>
    <row r="34" customFormat="false" ht="15" hidden="false" customHeight="false" outlineLevel="0" collapsed="false">
      <c r="A34" s="9" t="s">
        <v>56</v>
      </c>
      <c r="B34" s="9" t="s">
        <v>39</v>
      </c>
      <c r="C34" s="10" t="n">
        <v>279</v>
      </c>
      <c r="D34" s="11" t="n">
        <v>130757912.74</v>
      </c>
      <c r="E34" s="11" t="n">
        <v>947138.040000001</v>
      </c>
    </row>
    <row r="35" customFormat="false" ht="15" hidden="false" customHeight="false" outlineLevel="0" collapsed="false">
      <c r="A35" s="9" t="s">
        <v>56</v>
      </c>
      <c r="B35" s="9" t="s">
        <v>40</v>
      </c>
      <c r="C35" s="10" t="n">
        <v>599</v>
      </c>
      <c r="D35" s="11" t="n">
        <v>100377013.2</v>
      </c>
      <c r="E35" s="11" t="n">
        <v>2772296.2</v>
      </c>
    </row>
    <row r="36" customFormat="false" ht="15" hidden="false" customHeight="false" outlineLevel="0" collapsed="false">
      <c r="A36" s="9" t="s">
        <v>57</v>
      </c>
      <c r="B36" s="9" t="s">
        <v>39</v>
      </c>
      <c r="C36" s="10" t="n">
        <v>363</v>
      </c>
      <c r="D36" s="11" t="n">
        <v>151524077.61</v>
      </c>
      <c r="E36" s="11" t="n">
        <v>1105881.71</v>
      </c>
    </row>
    <row r="37" customFormat="false" ht="15" hidden="false" customHeight="false" outlineLevel="0" collapsed="false">
      <c r="A37" s="9" t="s">
        <v>57</v>
      </c>
      <c r="B37" s="9" t="s">
        <v>40</v>
      </c>
      <c r="C37" s="10" t="n">
        <v>789</v>
      </c>
      <c r="D37" s="11" t="n">
        <v>137818060.72</v>
      </c>
      <c r="E37" s="11" t="n">
        <v>3892300.52</v>
      </c>
    </row>
    <row r="38" customFormat="false" ht="15" hidden="false" customHeight="false" outlineLevel="0" collapsed="false">
      <c r="A38" s="9" t="s">
        <v>58</v>
      </c>
      <c r="B38" s="9" t="s">
        <v>39</v>
      </c>
      <c r="C38" s="10" t="n">
        <v>271</v>
      </c>
      <c r="D38" s="11" t="n">
        <v>150030374.3</v>
      </c>
      <c r="E38" s="11" t="n">
        <v>1091273.5</v>
      </c>
    </row>
    <row r="39" customFormat="false" ht="15" hidden="false" customHeight="false" outlineLevel="0" collapsed="false">
      <c r="A39" s="9" t="s">
        <v>58</v>
      </c>
      <c r="B39" s="9" t="s">
        <v>40</v>
      </c>
      <c r="C39" s="10" t="n">
        <v>739</v>
      </c>
      <c r="D39" s="11" t="n">
        <v>143690705</v>
      </c>
      <c r="E39" s="11" t="n">
        <v>3954445</v>
      </c>
    </row>
    <row r="40" customFormat="false" ht="15" hidden="false" customHeight="false" outlineLevel="0" collapsed="false">
      <c r="A40" s="9" t="s">
        <v>59</v>
      </c>
      <c r="B40" s="9" t="s">
        <v>39</v>
      </c>
      <c r="C40" s="10" t="n">
        <v>19</v>
      </c>
      <c r="D40" s="11" t="n">
        <v>5220201.29</v>
      </c>
      <c r="E40" s="11" t="n">
        <v>37672.0899999999</v>
      </c>
    </row>
    <row r="41" customFormat="false" ht="15" hidden="false" customHeight="false" outlineLevel="0" collapsed="false">
      <c r="A41" s="9" t="s">
        <v>59</v>
      </c>
      <c r="B41" s="9" t="s">
        <v>40</v>
      </c>
      <c r="C41" s="10" t="n">
        <v>48</v>
      </c>
      <c r="D41" s="11" t="n">
        <v>5812650</v>
      </c>
      <c r="E41" s="11" t="n">
        <v>161100</v>
      </c>
    </row>
  </sheetData>
  <autoFilter ref="A1:E4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7"/>
    <col collapsed="false" customWidth="true" hidden="false" outlineLevel="0" max="4" min="3" style="0" width="13"/>
    <col collapsed="false" customWidth="true" hidden="false" outlineLevel="0" max="6" min="5" style="0" width="17"/>
    <col collapsed="false" customWidth="true" hidden="false" outlineLevel="0" max="7" min="7" style="0" width="11"/>
    <col collapsed="false" customWidth="true" hidden="false" outlineLevel="0" max="9" min="8" style="0" width="14"/>
    <col collapsed="false" customWidth="true" hidden="false" outlineLevel="0" max="10" min="10" style="0" width="15"/>
    <col collapsed="false" customWidth="true" hidden="false" outlineLevel="0" max="11" min="11" style="0" width="14"/>
  </cols>
  <sheetData>
    <row r="1" customFormat="false" ht="19.7" hidden="false" customHeight="false" outlineLevel="0" collapsed="false">
      <c r="B1" s="1" t="s">
        <v>60</v>
      </c>
    </row>
    <row r="2" customFormat="false" ht="15" hidden="false" customHeight="false" outlineLevel="0" collapsed="false">
      <c r="B2" s="12" t="s">
        <v>61</v>
      </c>
    </row>
    <row r="4" customFormat="false" ht="23.85" hidden="false" customHeight="false" outlineLevel="0" collapsed="false">
      <c r="B4" s="13" t="s">
        <v>62</v>
      </c>
      <c r="C4" s="13" t="s">
        <v>33</v>
      </c>
      <c r="D4" s="13" t="s">
        <v>35</v>
      </c>
      <c r="E4" s="13" t="s">
        <v>36</v>
      </c>
      <c r="F4" s="13" t="s">
        <v>37</v>
      </c>
      <c r="G4" s="13" t="s">
        <v>63</v>
      </c>
      <c r="H4" s="13" t="s">
        <v>64</v>
      </c>
      <c r="I4" s="13" t="s">
        <v>65</v>
      </c>
      <c r="J4" s="13" t="s">
        <v>66</v>
      </c>
      <c r="K4" s="13" t="s">
        <v>67</v>
      </c>
    </row>
    <row r="5" customFormat="false" ht="15" hidden="false" customHeight="false" outlineLevel="0" collapsed="false">
      <c r="B5" s="9" t="n">
        <v>1</v>
      </c>
      <c r="C5" s="14" t="s">
        <v>55</v>
      </c>
      <c r="D5" s="10" t="n">
        <f aca="false">SUMIFS(Data!$C$2:$C$41,Data!$A$2:$A$41,$C5)</f>
        <v>1547</v>
      </c>
      <c r="E5" s="10" t="n">
        <f aca="false">SUMIFS(Data!$D$2:$D$41,Data!$A$2:$A$41,$C5)</f>
        <v>357134819.55</v>
      </c>
      <c r="F5" s="10" t="n">
        <f aca="false">SUMIFS(Data!$E$2:$E$41,Data!$A$2:$A$41,$C5)</f>
        <v>6664907.55</v>
      </c>
      <c r="G5" s="15" t="n">
        <f aca="false">IFERROR(F5/E5,0)</f>
        <v>0.0186621611367886</v>
      </c>
      <c r="H5" s="11" t="n">
        <f aca="false">IFERROR(F5/D5,0)</f>
        <v>4308.27895927602</v>
      </c>
      <c r="I5" s="10" t="n">
        <f aca="false">IFERROR(E5/D5,0)</f>
        <v>230856.379799612</v>
      </c>
      <c r="J5" s="16" t="n">
        <f aca="false">IFERROR(F5/SUM(Data!$E$2:$E$41),0)</f>
        <v>0.10945387787824</v>
      </c>
      <c r="K5" s="15" t="n">
        <f aca="false">IFERROR(G5-$G$25,0)</f>
        <v>0.00159349776539788</v>
      </c>
    </row>
    <row r="6" customFormat="false" ht="15" hidden="false" customHeight="false" outlineLevel="0" collapsed="false">
      <c r="B6" s="9" t="n">
        <v>2</v>
      </c>
      <c r="C6" s="14" t="s">
        <v>53</v>
      </c>
      <c r="D6" s="10" t="n">
        <f aca="false">SUMIFS(Data!$C$2:$C$41,Data!$A$2:$A$41,$C6)</f>
        <v>1299</v>
      </c>
      <c r="E6" s="10" t="n">
        <f aca="false">SUMIFS(Data!$D$2:$D$41,Data!$A$2:$A$41,$C6)</f>
        <v>362798845.09</v>
      </c>
      <c r="F6" s="10" t="n">
        <f aca="false">SUMIFS(Data!$E$2:$E$41,Data!$A$2:$A$41,$C6)</f>
        <v>6177874.79</v>
      </c>
      <c r="G6" s="15" t="n">
        <f aca="false">IFERROR(F6/E6,0)</f>
        <v>0.0170283750172012</v>
      </c>
      <c r="H6" s="11" t="n">
        <f aca="false">IFERROR(F6/D6,0)</f>
        <v>4755.8697382602</v>
      </c>
      <c r="I6" s="10" t="n">
        <f aca="false">IFERROR(E6/D6,0)</f>
        <v>279290.873818322</v>
      </c>
      <c r="J6" s="16" t="n">
        <f aca="false">IFERROR(F6/SUM(Data!$E$2:$E$41),0)</f>
        <v>0.101455623763561</v>
      </c>
      <c r="K6" s="15" t="n">
        <f aca="false">IFERROR(G6-$G$25,0)</f>
        <v>-4.02883541894827E-005</v>
      </c>
    </row>
    <row r="7" customFormat="false" ht="15" hidden="false" customHeight="false" outlineLevel="0" collapsed="false">
      <c r="B7" s="9" t="n">
        <v>3</v>
      </c>
      <c r="C7" s="14" t="s">
        <v>46</v>
      </c>
      <c r="D7" s="10" t="n">
        <f aca="false">SUMIFS(Data!$C$2:$C$41,Data!$A$2:$A$41,$C7)</f>
        <v>1324</v>
      </c>
      <c r="E7" s="10" t="n">
        <f aca="false">SUMIFS(Data!$D$2:$D$41,Data!$A$2:$A$41,$C7)</f>
        <v>273742625.9</v>
      </c>
      <c r="F7" s="10" t="n">
        <f aca="false">SUMIFS(Data!$E$2:$E$41,Data!$A$2:$A$41,$C7)</f>
        <v>5056849.3</v>
      </c>
      <c r="G7" s="15" t="n">
        <f aca="false">IFERROR(F7/E7,0)</f>
        <v>0.0184730064723179</v>
      </c>
      <c r="H7" s="11" t="n">
        <f aca="false">IFERROR(F7/D7,0)</f>
        <v>3819.37258308157</v>
      </c>
      <c r="I7" s="10" t="n">
        <f aca="false">IFERROR(E7/D7,0)</f>
        <v>206754.249169184</v>
      </c>
      <c r="J7" s="16" t="n">
        <f aca="false">IFERROR(F7/SUM(Data!$E$2:$E$41),0)</f>
        <v>0.0830456779150464</v>
      </c>
      <c r="K7" s="15" t="n">
        <f aca="false">IFERROR(G7-$G$25,0)</f>
        <v>0.00140434310092723</v>
      </c>
    </row>
    <row r="8" customFormat="false" ht="15" hidden="false" customHeight="false" outlineLevel="0" collapsed="false">
      <c r="B8" s="9" t="n">
        <v>4</v>
      </c>
      <c r="C8" s="14" t="s">
        <v>58</v>
      </c>
      <c r="D8" s="10" t="n">
        <f aca="false">SUMIFS(Data!$C$2:$C$41,Data!$A$2:$A$41,$C8)</f>
        <v>1010</v>
      </c>
      <c r="E8" s="10" t="n">
        <f aca="false">SUMIFS(Data!$D$2:$D$41,Data!$A$2:$A$41,$C8)</f>
        <v>293721079.3</v>
      </c>
      <c r="F8" s="10" t="n">
        <f aca="false">SUMIFS(Data!$E$2:$E$41,Data!$A$2:$A$41,$C8)</f>
        <v>5045718.5</v>
      </c>
      <c r="G8" s="15" t="n">
        <f aca="false">IFERROR(F8/E8,0)</f>
        <v>0.0171786053354598</v>
      </c>
      <c r="H8" s="11" t="n">
        <f aca="false">IFERROR(F8/D8,0)</f>
        <v>4995.76089108911</v>
      </c>
      <c r="I8" s="10" t="n">
        <f aca="false">IFERROR(E8/D8,0)</f>
        <v>290812.94980198</v>
      </c>
      <c r="J8" s="16" t="n">
        <f aca="false">IFERROR(F8/SUM(Data!$E$2:$E$41),0)</f>
        <v>0.0828628832979048</v>
      </c>
      <c r="K8" s="15" t="n">
        <f aca="false">IFERROR(G8-$G$25,0)</f>
        <v>0.00010994196406916</v>
      </c>
    </row>
    <row r="9" customFormat="false" ht="15" hidden="false" customHeight="false" outlineLevel="0" collapsed="false">
      <c r="B9" s="9" t="n">
        <v>5</v>
      </c>
      <c r="C9" s="14" t="s">
        <v>42</v>
      </c>
      <c r="D9" s="10" t="n">
        <f aca="false">SUMIFS(Data!$C$2:$C$41,Data!$A$2:$A$41,$C9)</f>
        <v>1126</v>
      </c>
      <c r="E9" s="10" t="n">
        <f aca="false">SUMIFS(Data!$D$2:$D$41,Data!$A$2:$A$41,$C9)</f>
        <v>313089419.68</v>
      </c>
      <c r="F9" s="10" t="n">
        <f aca="false">SUMIFS(Data!$E$2:$E$41,Data!$A$2:$A$41,$C9)</f>
        <v>5025388.78</v>
      </c>
      <c r="G9" s="15" t="n">
        <f aca="false">IFERROR(F9/E9,0)</f>
        <v>0.0160509696722946</v>
      </c>
      <c r="H9" s="11" t="n">
        <f aca="false">IFERROR(F9/D9,0)</f>
        <v>4463.04509769094</v>
      </c>
      <c r="I9" s="10" t="n">
        <f aca="false">IFERROR(E9/D9,0)</f>
        <v>278054.54678508</v>
      </c>
      <c r="J9" s="16" t="n">
        <f aca="false">IFERROR(F9/SUM(Data!$E$2:$E$41),0)</f>
        <v>0.0825290201987566</v>
      </c>
      <c r="K9" s="15" t="n">
        <f aca="false">IFERROR(G9-$G$25,0)</f>
        <v>-0.00101769369909605</v>
      </c>
    </row>
    <row r="10" customFormat="false" ht="15" hidden="false" customHeight="false" outlineLevel="0" collapsed="false">
      <c r="B10" s="9" t="n">
        <v>6</v>
      </c>
      <c r="C10" s="14" t="s">
        <v>57</v>
      </c>
      <c r="D10" s="10" t="n">
        <f aca="false">SUMIFS(Data!$C$2:$C$41,Data!$A$2:$A$41,$C10)</f>
        <v>1152</v>
      </c>
      <c r="E10" s="10" t="n">
        <f aca="false">SUMIFS(Data!$D$2:$D$41,Data!$A$2:$A$41,$C10)</f>
        <v>289342138.33</v>
      </c>
      <c r="F10" s="10" t="n">
        <f aca="false">SUMIFS(Data!$E$2:$E$41,Data!$A$2:$A$41,$C10)</f>
        <v>4998182.23</v>
      </c>
      <c r="G10" s="15" t="n">
        <f aca="false">IFERROR(F10/E10,0)</f>
        <v>0.0172742976838703</v>
      </c>
      <c r="H10" s="11" t="n">
        <f aca="false">IFERROR(F10/D10,0)</f>
        <v>4338.69985243055</v>
      </c>
      <c r="I10" s="10" t="n">
        <f aca="false">IFERROR(E10/D10,0)</f>
        <v>251165.050633681</v>
      </c>
      <c r="J10" s="16" t="n">
        <f aca="false">IFERROR(F10/SUM(Data!$E$2:$E$41),0)</f>
        <v>0.0820822229433036</v>
      </c>
      <c r="K10" s="15" t="n">
        <f aca="false">IFERROR(G10-$G$25,0)</f>
        <v>0.000205634312479625</v>
      </c>
    </row>
    <row r="11" customFormat="false" ht="15" hidden="false" customHeight="false" outlineLevel="0" collapsed="false">
      <c r="B11" s="9" t="n">
        <v>7</v>
      </c>
      <c r="C11" s="14" t="s">
        <v>47</v>
      </c>
      <c r="D11" s="10" t="n">
        <f aca="false">SUMIFS(Data!$C$2:$C$41,Data!$A$2:$A$41,$C11)</f>
        <v>1142</v>
      </c>
      <c r="E11" s="10" t="n">
        <f aca="false">SUMIFS(Data!$D$2:$D$41,Data!$A$2:$A$41,$C11)</f>
        <v>248570292.4</v>
      </c>
      <c r="F11" s="10" t="n">
        <f aca="false">SUMIFS(Data!$E$2:$E$41,Data!$A$2:$A$41,$C11)</f>
        <v>4330802</v>
      </c>
      <c r="G11" s="15" t="n">
        <f aca="false">IFERROR(F11/E11,0)</f>
        <v>0.0174228463030927</v>
      </c>
      <c r="H11" s="11" t="n">
        <f aca="false">IFERROR(F11/D11,0)</f>
        <v>3792.29597197898</v>
      </c>
      <c r="I11" s="10" t="n">
        <f aca="false">IFERROR(E11/D11,0)</f>
        <v>217662.252539405</v>
      </c>
      <c r="J11" s="16" t="n">
        <f aca="false">IFERROR(F11/SUM(Data!$E$2:$E$41),0)</f>
        <v>0.0711222278278768</v>
      </c>
      <c r="K11" s="15" t="n">
        <f aca="false">IFERROR(G11-$G$25,0)</f>
        <v>0.000354182931701984</v>
      </c>
    </row>
    <row r="12" customFormat="false" ht="15" hidden="false" customHeight="false" outlineLevel="0" collapsed="false">
      <c r="B12" s="9" t="n">
        <v>8</v>
      </c>
      <c r="C12" s="14" t="s">
        <v>43</v>
      </c>
      <c r="D12" s="10" t="n">
        <f aca="false">SUMIFS(Data!$C$2:$C$41,Data!$A$2:$A$41,$C12)</f>
        <v>859</v>
      </c>
      <c r="E12" s="10" t="n">
        <f aca="false">SUMIFS(Data!$D$2:$D$41,Data!$A$2:$A$41,$C12)</f>
        <v>250895621.35</v>
      </c>
      <c r="F12" s="10" t="n">
        <f aca="false">SUMIFS(Data!$E$2:$E$41,Data!$A$2:$A$41,$C12)</f>
        <v>4085008.85</v>
      </c>
      <c r="G12" s="15" t="n">
        <f aca="false">IFERROR(F12/E12,0)</f>
        <v>0.0162817064244473</v>
      </c>
      <c r="H12" s="11" t="n">
        <f aca="false">IFERROR(F12/D12,0)</f>
        <v>4755.53998835855</v>
      </c>
      <c r="I12" s="10" t="n">
        <f aca="false">IFERROR(E12/D12,0)</f>
        <v>292078.721012806</v>
      </c>
      <c r="J12" s="16" t="n">
        <f aca="false">IFERROR(F12/SUM(Data!$E$2:$E$41),0)</f>
        <v>0.0670857107086846</v>
      </c>
      <c r="K12" s="15" t="n">
        <f aca="false">IFERROR(G12-$G$25,0)</f>
        <v>-0.000786956946943349</v>
      </c>
    </row>
    <row r="13" customFormat="false" ht="15" hidden="false" customHeight="false" outlineLevel="0" collapsed="false">
      <c r="B13" s="9" t="n">
        <v>9</v>
      </c>
      <c r="C13" s="14" t="s">
        <v>56</v>
      </c>
      <c r="D13" s="10" t="n">
        <f aca="false">SUMIFS(Data!$C$2:$C$41,Data!$A$2:$A$41,$C13)</f>
        <v>878</v>
      </c>
      <c r="E13" s="10" t="n">
        <f aca="false">SUMIFS(Data!$D$2:$D$41,Data!$A$2:$A$41,$C13)</f>
        <v>231134925.94</v>
      </c>
      <c r="F13" s="10" t="n">
        <f aca="false">SUMIFS(Data!$E$2:$E$41,Data!$A$2:$A$41,$C13)</f>
        <v>3719434.24</v>
      </c>
      <c r="G13" s="15" t="n">
        <f aca="false">IFERROR(F13/E13,0)</f>
        <v>0.0160920476421877</v>
      </c>
      <c r="H13" s="11" t="n">
        <f aca="false">IFERROR(F13/D13,0)</f>
        <v>4236.25767653759</v>
      </c>
      <c r="I13" s="10" t="n">
        <f aca="false">IFERROR(E13/D13,0)</f>
        <v>263251.624077449</v>
      </c>
      <c r="J13" s="16" t="n">
        <f aca="false">IFERROR(F13/SUM(Data!$E$2:$E$41),0)</f>
        <v>0.0610820927412719</v>
      </c>
      <c r="K13" s="15" t="n">
        <f aca="false">IFERROR(G13-$G$25,0)</f>
        <v>-0.00097661572920299</v>
      </c>
    </row>
    <row r="14" customFormat="false" ht="15" hidden="false" customHeight="false" outlineLevel="0" collapsed="false">
      <c r="B14" s="9" t="n">
        <v>10</v>
      </c>
      <c r="C14" s="14" t="s">
        <v>45</v>
      </c>
      <c r="D14" s="10" t="n">
        <f aca="false">SUMIFS(Data!$C$2:$C$41,Data!$A$2:$A$41,$C14)</f>
        <v>590</v>
      </c>
      <c r="E14" s="10" t="n">
        <f aca="false">SUMIFS(Data!$D$2:$D$41,Data!$A$2:$A$41,$C14)</f>
        <v>230079759.49</v>
      </c>
      <c r="F14" s="10" t="n">
        <f aca="false">SUMIFS(Data!$E$2:$E$41,Data!$A$2:$A$41,$C14)</f>
        <v>3308451.79</v>
      </c>
      <c r="G14" s="15" t="n">
        <f aca="false">IFERROR(F14/E14,0)</f>
        <v>0.0143795864413871</v>
      </c>
      <c r="H14" s="11" t="n">
        <f aca="false">IFERROR(F14/D14,0)</f>
        <v>5607.54540677966</v>
      </c>
      <c r="I14" s="10" t="n">
        <f aca="false">IFERROR(E14/D14,0)</f>
        <v>389965.694050848</v>
      </c>
      <c r="J14" s="16" t="n">
        <f aca="false">IFERROR(F14/SUM(Data!$E$2:$E$41),0)</f>
        <v>0.054332768380066</v>
      </c>
      <c r="K14" s="15" t="n">
        <f aca="false">IFERROR(G14-$G$25,0)</f>
        <v>-0.00268907693000361</v>
      </c>
    </row>
    <row r="15" customFormat="false" ht="15" hidden="false" customHeight="false" outlineLevel="0" collapsed="false">
      <c r="B15" s="9" t="n">
        <v>11</v>
      </c>
      <c r="C15" s="14" t="s">
        <v>54</v>
      </c>
      <c r="D15" s="10" t="n">
        <f aca="false">SUMIFS(Data!$C$2:$C$41,Data!$A$2:$A$41,$C15)</f>
        <v>671</v>
      </c>
      <c r="E15" s="10" t="n">
        <f aca="false">SUMIFS(Data!$D$2:$D$41,Data!$A$2:$A$41,$C15)</f>
        <v>152264842.02</v>
      </c>
      <c r="F15" s="10" t="n">
        <f aca="false">SUMIFS(Data!$E$2:$E$41,Data!$A$2:$A$41,$C15)</f>
        <v>2584392.52</v>
      </c>
      <c r="G15" s="15" t="n">
        <f aca="false">IFERROR(F15/E15,0)</f>
        <v>0.0169730089081269</v>
      </c>
      <c r="H15" s="11" t="n">
        <f aca="false">IFERROR(F15/D15,0)</f>
        <v>3851.55368107302</v>
      </c>
      <c r="I15" s="10" t="n">
        <f aca="false">IFERROR(E15/D15,0)</f>
        <v>226922.26828614</v>
      </c>
      <c r="J15" s="16" t="n">
        <f aca="false">IFERROR(F15/SUM(Data!$E$2:$E$41),0)</f>
        <v>0.0424419665466351</v>
      </c>
      <c r="K15" s="15" t="n">
        <f aca="false">IFERROR(G15-$G$25,0)</f>
        <v>-9.56544632637404E-005</v>
      </c>
    </row>
    <row r="16" customFormat="false" ht="15" hidden="false" customHeight="false" outlineLevel="0" collapsed="false">
      <c r="B16" s="9" t="n">
        <v>12</v>
      </c>
      <c r="C16" s="14" t="s">
        <v>48</v>
      </c>
      <c r="D16" s="10" t="n">
        <f aca="false">SUMIFS(Data!$C$2:$C$41,Data!$A$2:$A$41,$C16)</f>
        <v>598</v>
      </c>
      <c r="E16" s="10" t="n">
        <f aca="false">SUMIFS(Data!$D$2:$D$41,Data!$A$2:$A$41,$C16)</f>
        <v>97062412.4229</v>
      </c>
      <c r="F16" s="10" t="n">
        <f aca="false">SUMIFS(Data!$E$2:$E$41,Data!$A$2:$A$41,$C16)</f>
        <v>1610972.9499</v>
      </c>
      <c r="G16" s="15" t="n">
        <f aca="false">IFERROR(F16/E16,0)</f>
        <v>0.016597289410869</v>
      </c>
      <c r="H16" s="11" t="n">
        <f aca="false">IFERROR(F16/D16,0)</f>
        <v>2693.93469882943</v>
      </c>
      <c r="I16" s="10" t="n">
        <f aca="false">IFERROR(E16/D16,0)</f>
        <v>162311.726459699</v>
      </c>
      <c r="J16" s="16" t="n">
        <f aca="false">IFERROR(F16/SUM(Data!$E$2:$E$41),0)</f>
        <v>0.0264560663746194</v>
      </c>
      <c r="K16" s="15" t="n">
        <f aca="false">IFERROR(G16-$G$25,0)</f>
        <v>-0.000471373960521649</v>
      </c>
    </row>
    <row r="17" customFormat="false" ht="15" hidden="false" customHeight="false" outlineLevel="0" collapsed="false">
      <c r="B17" s="9" t="n">
        <v>13</v>
      </c>
      <c r="C17" s="14" t="s">
        <v>44</v>
      </c>
      <c r="D17" s="10" t="n">
        <f aca="false">SUMIFS(Data!$C$2:$C$41,Data!$A$2:$A$41,$C17)</f>
        <v>431</v>
      </c>
      <c r="E17" s="10" t="n">
        <f aca="false">SUMIFS(Data!$D$2:$D$41,Data!$A$2:$A$41,$C17)</f>
        <v>83609640.67</v>
      </c>
      <c r="F17" s="10" t="n">
        <f aca="false">SUMIFS(Data!$E$2:$E$41,Data!$A$2:$A$41,$C17)</f>
        <v>1503133.07</v>
      </c>
      <c r="G17" s="15" t="n">
        <f aca="false">IFERROR(F17/E17,0)</f>
        <v>0.0179779874420551</v>
      </c>
      <c r="H17" s="11" t="n">
        <f aca="false">IFERROR(F17/D17,0)</f>
        <v>3487.5477262181</v>
      </c>
      <c r="I17" s="10" t="n">
        <f aca="false">IFERROR(E17/D17,0)</f>
        <v>193989.885545244</v>
      </c>
      <c r="J17" s="16" t="n">
        <f aca="false">IFERROR(F17/SUM(Data!$E$2:$E$41),0)</f>
        <v>0.0246850751108353</v>
      </c>
      <c r="K17" s="15" t="n">
        <f aca="false">IFERROR(G17-$G$25,0)</f>
        <v>0.000909324070664436</v>
      </c>
    </row>
    <row r="18" customFormat="false" ht="15" hidden="false" customHeight="false" outlineLevel="0" collapsed="false">
      <c r="B18" s="9" t="n">
        <v>14</v>
      </c>
      <c r="C18" s="14" t="s">
        <v>38</v>
      </c>
      <c r="D18" s="10" t="n">
        <f aca="false">SUMIFS(Data!$C$2:$C$41,Data!$A$2:$A$41,$C18)</f>
        <v>331</v>
      </c>
      <c r="E18" s="10" t="n">
        <f aca="false">SUMIFS(Data!$D$2:$D$41,Data!$A$2:$A$41,$C18)</f>
        <v>64509591.77</v>
      </c>
      <c r="F18" s="10" t="n">
        <f aca="false">SUMIFS(Data!$E$2:$E$41,Data!$A$2:$A$41,$C18)</f>
        <v>1435233.37</v>
      </c>
      <c r="G18" s="15" t="n">
        <f aca="false">IFERROR(F18/E18,0)</f>
        <v>0.0222483716083203</v>
      </c>
      <c r="H18" s="11" t="n">
        <f aca="false">IFERROR(F18/D18,0)</f>
        <v>4336.05247734139</v>
      </c>
      <c r="I18" s="10" t="n">
        <f aca="false">IFERROR(E18/D18,0)</f>
        <v>194893.026495468</v>
      </c>
      <c r="J18" s="16" t="n">
        <f aca="false">IFERROR(F18/SUM(Data!$E$2:$E$41),0)</f>
        <v>0.0235699980574756</v>
      </c>
      <c r="K18" s="15" t="n">
        <f aca="false">IFERROR(G18-$G$25,0)</f>
        <v>0.00517970823692962</v>
      </c>
    </row>
    <row r="19" customFormat="false" ht="15" hidden="false" customHeight="false" outlineLevel="0" collapsed="false">
      <c r="B19" s="9" t="n">
        <v>15</v>
      </c>
      <c r="C19" s="14" t="s">
        <v>49</v>
      </c>
      <c r="D19" s="10" t="n">
        <f aca="false">SUMIFS(Data!$C$2:$C$41,Data!$A$2:$A$41,$C19)</f>
        <v>287</v>
      </c>
      <c r="E19" s="10" t="n">
        <f aca="false">SUMIFS(Data!$D$2:$D$41,Data!$A$2:$A$41,$C19)</f>
        <v>82731459.68</v>
      </c>
      <c r="F19" s="10" t="n">
        <f aca="false">SUMIFS(Data!$E$2:$E$41,Data!$A$2:$A$41,$C19)</f>
        <v>1384250.38</v>
      </c>
      <c r="G19" s="15" t="n">
        <f aca="false">IFERROR(F19/E19,0)</f>
        <v>0.0167318500767929</v>
      </c>
      <c r="H19" s="11" t="n">
        <f aca="false">IFERROR(F19/D19,0)</f>
        <v>4823.17205574913</v>
      </c>
      <c r="I19" s="10" t="n">
        <f aca="false">IFERROR(E19/D19,0)</f>
        <v>288262.925714286</v>
      </c>
      <c r="J19" s="16" t="n">
        <f aca="false">IFERROR(F19/SUM(Data!$E$2:$E$41),0)</f>
        <v>0.0227327342365652</v>
      </c>
      <c r="K19" s="15" t="n">
        <f aca="false">IFERROR(G19-$G$25,0)</f>
        <v>-0.000336813294597744</v>
      </c>
    </row>
    <row r="20" customFormat="false" ht="15" hidden="false" customHeight="false" outlineLevel="0" collapsed="false">
      <c r="B20" s="9" t="n">
        <v>16</v>
      </c>
      <c r="C20" s="14" t="s">
        <v>52</v>
      </c>
      <c r="D20" s="10" t="n">
        <f aca="false">SUMIFS(Data!$C$2:$C$41,Data!$A$2:$A$41,$C20)</f>
        <v>443</v>
      </c>
      <c r="E20" s="10" t="n">
        <f aca="false">SUMIFS(Data!$D$2:$D$41,Data!$A$2:$A$41,$C20)</f>
        <v>88011328.99</v>
      </c>
      <c r="F20" s="10" t="n">
        <f aca="false">SUMIFS(Data!$E$2:$E$41,Data!$A$2:$A$41,$C20)</f>
        <v>1313391.99</v>
      </c>
      <c r="G20" s="15" t="n">
        <f aca="false">IFERROR(F20/E20,0)</f>
        <v>0.0149229878138669</v>
      </c>
      <c r="H20" s="11" t="n">
        <f aca="false">IFERROR(F20/D20,0)</f>
        <v>2964.7674717833</v>
      </c>
      <c r="I20" s="10" t="n">
        <f aca="false">IFERROR(E20/D20,0)</f>
        <v>198671.171534989</v>
      </c>
      <c r="J20" s="16" t="n">
        <f aca="false">IFERROR(F20/SUM(Data!$E$2:$E$41),0)</f>
        <v>0.0215690683481001</v>
      </c>
      <c r="K20" s="15" t="n">
        <f aca="false">IFERROR(G20-$G$25,0)</f>
        <v>-0.00214567555752376</v>
      </c>
    </row>
    <row r="21" customFormat="false" ht="15" hidden="false" customHeight="false" outlineLevel="0" collapsed="false">
      <c r="B21" s="9" t="n">
        <v>17</v>
      </c>
      <c r="C21" s="14" t="s">
        <v>51</v>
      </c>
      <c r="D21" s="10" t="n">
        <f aca="false">SUMIFS(Data!$C$2:$C$41,Data!$A$2:$A$41,$C21)</f>
        <v>331</v>
      </c>
      <c r="E21" s="10" t="n">
        <f aca="false">SUMIFS(Data!$D$2:$D$41,Data!$A$2:$A$41,$C21)</f>
        <v>62155877.35</v>
      </c>
      <c r="F21" s="10" t="n">
        <f aca="false">SUMIFS(Data!$E$2:$E$41,Data!$A$2:$A$41,$C21)</f>
        <v>1292042.25</v>
      </c>
      <c r="G21" s="15" t="n">
        <f aca="false">IFERROR(F21/E21,0)</f>
        <v>0.0207871291515122</v>
      </c>
      <c r="H21" s="11" t="n">
        <f aca="false">IFERROR(F21/D21,0)</f>
        <v>3903.45090634441</v>
      </c>
      <c r="I21" s="10" t="n">
        <f aca="false">IFERROR(E21/D21,0)</f>
        <v>187782.106797583</v>
      </c>
      <c r="J21" s="16" t="n">
        <f aca="false">IFERROR(F21/SUM(Data!$E$2:$E$41),0)</f>
        <v>0.0212184540571798</v>
      </c>
      <c r="K21" s="15" t="n">
        <f aca="false">IFERROR(G21-$G$25,0)</f>
        <v>0.0037184657801215</v>
      </c>
    </row>
    <row r="22" customFormat="false" ht="15" hidden="false" customHeight="false" outlineLevel="0" collapsed="false">
      <c r="B22" s="9" t="n">
        <v>18</v>
      </c>
      <c r="C22" s="14" t="s">
        <v>41</v>
      </c>
      <c r="D22" s="10" t="n">
        <f aca="false">SUMIFS(Data!$C$2:$C$41,Data!$A$2:$A$41,$C22)</f>
        <v>348</v>
      </c>
      <c r="E22" s="10" t="n">
        <f aca="false">SUMIFS(Data!$D$2:$D$41,Data!$A$2:$A$41,$C22)</f>
        <v>72098164.24</v>
      </c>
      <c r="F22" s="10" t="n">
        <f aca="false">SUMIFS(Data!$E$2:$E$41,Data!$A$2:$A$41,$C22)</f>
        <v>1067577.24</v>
      </c>
      <c r="G22" s="15" t="n">
        <f aca="false">IFERROR(F22/E22,0)</f>
        <v>0.014807273545083</v>
      </c>
      <c r="H22" s="11" t="n">
        <f aca="false">IFERROR(F22/D22,0)</f>
        <v>3067.75068965517</v>
      </c>
      <c r="I22" s="10" t="n">
        <f aca="false">IFERROR(E22/D22,0)</f>
        <v>207178.632873563</v>
      </c>
      <c r="J22" s="16" t="n">
        <f aca="false">IFERROR(F22/SUM(Data!$E$2:$E$41),0)</f>
        <v>0.0175321965047434</v>
      </c>
      <c r="K22" s="15" t="n">
        <f aca="false">IFERROR(G22-$G$25,0)</f>
        <v>-0.00226138982630769</v>
      </c>
    </row>
    <row r="23" customFormat="false" ht="15" hidden="false" customHeight="false" outlineLevel="0" collapsed="false">
      <c r="B23" s="9" t="n">
        <v>19</v>
      </c>
      <c r="C23" s="14" t="s">
        <v>50</v>
      </c>
      <c r="D23" s="10" t="n">
        <f aca="false">SUMIFS(Data!$C$2:$C$41,Data!$A$2:$A$41,$C23)</f>
        <v>16</v>
      </c>
      <c r="E23" s="10" t="n">
        <f aca="false">SUMIFS(Data!$D$2:$D$41,Data!$A$2:$A$41,$C23)</f>
        <v>3510046</v>
      </c>
      <c r="F23" s="10" t="n">
        <f aca="false">SUMIFS(Data!$E$2:$E$41,Data!$A$2:$A$41,$C23)</f>
        <v>90000</v>
      </c>
      <c r="G23" s="15" t="n">
        <f aca="false">IFERROR(F23/E23,0)</f>
        <v>0.025640689609196</v>
      </c>
      <c r="H23" s="11" t="n">
        <f aca="false">IFERROR(F23/D23,0)</f>
        <v>5625</v>
      </c>
      <c r="I23" s="10" t="n">
        <f aca="false">IFERROR(E23/D23,0)</f>
        <v>219377.875</v>
      </c>
      <c r="J23" s="16" t="n">
        <f aca="false">IFERROR(F23/SUM(Data!$E$2:$E$41),0)</f>
        <v>0.00147801735209989</v>
      </c>
      <c r="K23" s="15" t="n">
        <f aca="false">IFERROR(G23-$G$25,0)</f>
        <v>0.00857202623780533</v>
      </c>
    </row>
    <row r="24" customFormat="false" ht="15" hidden="false" customHeight="false" outlineLevel="0" collapsed="false">
      <c r="B24" s="9" t="s">
        <v>68</v>
      </c>
      <c r="C24" s="14" t="s">
        <v>59</v>
      </c>
      <c r="D24" s="10" t="n">
        <f aca="false">SUMIFS(Data!$C$2:$C$41,Data!$A$2:$A$41,$C24)</f>
        <v>67</v>
      </c>
      <c r="E24" s="10" t="n">
        <f aca="false">SUMIFS(Data!$D$2:$D$41,Data!$A$2:$A$41,$C24)</f>
        <v>11032851.29</v>
      </c>
      <c r="F24" s="10" t="n">
        <f aca="false">SUMIFS(Data!$E$2:$E$41,Data!$A$2:$A$41,$C24)</f>
        <v>198772.09</v>
      </c>
      <c r="G24" s="15" t="n">
        <f aca="false">IFERROR(F24/E24,0)</f>
        <v>0.018016384411903</v>
      </c>
      <c r="H24" s="11" t="n">
        <f aca="false">IFERROR(F24/D24,0)</f>
        <v>2966.7476119403</v>
      </c>
      <c r="I24" s="10" t="n">
        <f aca="false">IFERROR(E24/D24,0)</f>
        <v>164669.422238806</v>
      </c>
      <c r="J24" s="16" t="n">
        <f aca="false">IFERROR(F24/SUM(Data!$E$2:$E$41),0)</f>
        <v>0.00326431775703512</v>
      </c>
      <c r="K24" s="15" t="n">
        <f aca="false">IFERROR(G24-$G$25,0)</f>
        <v>0.000947721040512328</v>
      </c>
    </row>
    <row r="25" customFormat="false" ht="15" hidden="false" customHeight="false" outlineLevel="0" collapsed="false">
      <c r="B25" s="17"/>
      <c r="C25" s="18" t="s">
        <v>69</v>
      </c>
      <c r="D25" s="19" t="n">
        <f aca="false">SUM(D5:D24)</f>
        <v>14450</v>
      </c>
      <c r="E25" s="19" t="n">
        <f aca="false">SUM(E5:E24)</f>
        <v>3567495741.4629</v>
      </c>
      <c r="F25" s="19" t="n">
        <f aca="false">SUM(F5:F24)</f>
        <v>60892383.8899</v>
      </c>
      <c r="G25" s="20" t="n">
        <f aca="false">IFERROR(F25/E25,0)</f>
        <v>0.0170686633713907</v>
      </c>
      <c r="H25" s="21" t="n">
        <f aca="false">IFERROR(F25/D25,0)</f>
        <v>4214.00580552941</v>
      </c>
      <c r="I25" s="19" t="n">
        <f aca="false">IFERROR(E25/D25,0)</f>
        <v>246885.518440339</v>
      </c>
      <c r="J25" s="22" t="n">
        <f aca="false">SUM(J5:J24)</f>
        <v>1</v>
      </c>
      <c r="K25" s="17"/>
    </row>
    <row r="27" customFormat="false" ht="15" hidden="false" customHeight="false" outlineLevel="0" collapsed="false">
      <c r="C27" s="7" t="s">
        <v>70</v>
      </c>
    </row>
  </sheetData>
  <conditionalFormatting sqref="G5:G24">
    <cfRule type="cellIs" priority="2" operator="lessThan" aboveAverage="0" equalAverage="0" bottom="0" percent="0" rank="0" text="" dxfId="4">
      <formula>$G$25</formula>
    </cfRule>
  </conditionalFormatting>
  <conditionalFormatting sqref="F5:F24">
    <cfRule type="dataBar" priority="3">
      <dataBar showValue="1" minLength="10" maxLength="90">
        <cfvo type="min" val="0"/>
        <cfvo type="max" val="0"/>
        <color rgb="FF5B8DEF"/>
      </dataBar>
      <extLst>
        <ext xmlns:x14="http://schemas.microsoft.com/office/spreadsheetml/2009/9/main" uri="{B025F937-C7B1-47D3-B67F-A62EFF666E3E}">
          <x14:id>{FCA1E215-E36B-40F7-8754-AC175A9C4087}</x14:id>
        </ext>
      </extLst>
    </cfRule>
  </conditionalFormatting>
  <conditionalFormatting sqref="K5:K24">
    <cfRule type="dataBar" priority="4">
      <dataBar showValue="1" minLength="10" maxLength="90">
        <cfvo type="num" val="-0.01"/>
        <cfvo type="num" val="0.01"/>
        <color rgb="FF3FA46A"/>
      </dataBar>
      <extLst>
        <ext xmlns:x14="http://schemas.microsoft.com/office/spreadsheetml/2009/9/main" uri="{B025F937-C7B1-47D3-B67F-A62EFF666E3E}">
          <x14:id>{7139B9A2-5361-4BE8-895D-60902287C2BB}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CA1E215-E36B-40F7-8754-AC175A9C4087}">
            <x14:dataBar minLength="10" maxLength="90" axisPosition="none" gradient="true">
              <x14:cfvo type="min"/>
              <x14:cfvo type="max"/>
              <x14:negativeFillColor rgb="FF5B8DEF"/>
              <x14:axisColor rgb="FF000000"/>
            </x14:dataBar>
          </x14:cfRule>
          <xm:sqref>F5:F24</xm:sqref>
        </x14:conditionalFormatting>
        <x14:conditionalFormatting xmlns:xm="http://schemas.microsoft.com/office/excel/2006/main">
          <x14:cfRule type="dataBar" id="{7139B9A2-5361-4BE8-895D-60902287C2BB}">
            <x14:dataBar minLength="10" maxLength="90" axisPosition="none" gradient="true">
              <x14:cfvo type="num">
                <xm:f>-0.01</xm:f>
              </x14:cfvo>
              <x14:cfvo type="num">
                <xm:f>0.01</xm:f>
              </x14:cfvo>
              <x14:negativeFillColor rgb="FF3FA46A"/>
              <x14:axisColor rgb="FF000000"/>
            </x14:dataBar>
          </x14:cfRule>
          <xm:sqref>K5:K24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11"/>
    <col collapsed="false" customWidth="true" hidden="false" outlineLevel="0" max="8" min="8" style="0" width="24"/>
  </cols>
  <sheetData>
    <row r="1" customFormat="false" ht="19.7" hidden="false" customHeight="false" outlineLevel="0" collapsed="false">
      <c r="B1" s="1" t="s">
        <v>71</v>
      </c>
    </row>
    <row r="2" customFormat="false" ht="15" hidden="false" customHeight="false" outlineLevel="0" collapsed="false">
      <c r="B2" s="12" t="s">
        <v>72</v>
      </c>
    </row>
    <row r="4" customFormat="false" ht="15" hidden="false" customHeight="false" outlineLevel="0" collapsed="false">
      <c r="B4" s="13" t="s">
        <v>33</v>
      </c>
      <c r="C4" s="13" t="s">
        <v>36</v>
      </c>
      <c r="D4" s="13" t="s">
        <v>73</v>
      </c>
      <c r="E4" s="13" t="s">
        <v>63</v>
      </c>
      <c r="F4" s="13" t="s">
        <v>74</v>
      </c>
      <c r="G4" s="13" t="s">
        <v>75</v>
      </c>
      <c r="H4" s="13" t="s">
        <v>76</v>
      </c>
    </row>
    <row r="5" customFormat="false" ht="15" hidden="false" customHeight="false" outlineLevel="0" collapsed="false">
      <c r="B5" s="14" t="s">
        <v>55</v>
      </c>
      <c r="C5" s="10" t="n">
        <f aca="false">SUMIFS(Data!$D$2:$D$41,Data!$A$2:$A$41,$B5)</f>
        <v>357134819.55</v>
      </c>
      <c r="D5" s="10" t="n">
        <f aca="false">RANK(C5,$C$5:$C$23)</f>
        <v>2</v>
      </c>
      <c r="E5" s="15" t="n">
        <f aca="false">IFERROR(SUMIFS(Data!$E$2:$E$41,Data!$A$2:$A$41,$B5)/C5,0)</f>
        <v>0.0186621611367886</v>
      </c>
      <c r="F5" s="10" t="n">
        <f aca="false">RANK(E5,$E$5:$E$23)</f>
        <v>4</v>
      </c>
      <c r="G5" s="23" t="n">
        <f aca="false">D5-F5</f>
        <v>-2</v>
      </c>
      <c r="H5" s="9" t="str">
        <f aca="false">IF(G5&lt;=-5,"Flatters on volume",IF(G5&gt;=5,"Understated by volume",""))</f>
        <v/>
      </c>
    </row>
    <row r="6" customFormat="false" ht="15" hidden="false" customHeight="false" outlineLevel="0" collapsed="false">
      <c r="B6" s="14" t="s">
        <v>53</v>
      </c>
      <c r="C6" s="10" t="n">
        <f aca="false">SUMIFS(Data!$D$2:$D$41,Data!$A$2:$A$41,$B6)</f>
        <v>362798845.09</v>
      </c>
      <c r="D6" s="10" t="n">
        <f aca="false">RANK(C6,$C$5:$C$23)</f>
        <v>1</v>
      </c>
      <c r="E6" s="15" t="n">
        <f aca="false">IFERROR(SUMIFS(Data!$E$2:$E$41,Data!$A$2:$A$41,$B6)/C6,0)</f>
        <v>0.0170283750172012</v>
      </c>
      <c r="F6" s="10" t="n">
        <f aca="false">RANK(E6,$E$5:$E$23)</f>
        <v>10</v>
      </c>
      <c r="G6" s="23" t="n">
        <f aca="false">D6-F6</f>
        <v>-9</v>
      </c>
      <c r="H6" s="9" t="str">
        <f aca="false">IF(G6&lt;=-5,"Flatters on volume",IF(G6&gt;=5,"Understated by volume",""))</f>
        <v>Flatters on volume</v>
      </c>
    </row>
    <row r="7" customFormat="false" ht="15" hidden="false" customHeight="false" outlineLevel="0" collapsed="false">
      <c r="B7" s="14" t="s">
        <v>46</v>
      </c>
      <c r="C7" s="10" t="n">
        <f aca="false">SUMIFS(Data!$D$2:$D$41,Data!$A$2:$A$41,$B7)</f>
        <v>273742625.9</v>
      </c>
      <c r="D7" s="10" t="n">
        <f aca="false">RANK(C7,$C$5:$C$23)</f>
        <v>6</v>
      </c>
      <c r="E7" s="15" t="n">
        <f aca="false">IFERROR(SUMIFS(Data!$E$2:$E$41,Data!$A$2:$A$41,$B7)/C7,0)</f>
        <v>0.0184730064723179</v>
      </c>
      <c r="F7" s="10" t="n">
        <f aca="false">RANK(E7,$E$5:$E$23)</f>
        <v>5</v>
      </c>
      <c r="G7" s="23" t="n">
        <f aca="false">D7-F7</f>
        <v>1</v>
      </c>
      <c r="H7" s="9" t="str">
        <f aca="false">IF(G7&lt;=-5,"Flatters on volume",IF(G7&gt;=5,"Understated by volume",""))</f>
        <v/>
      </c>
    </row>
    <row r="8" customFormat="false" ht="15" hidden="false" customHeight="false" outlineLevel="0" collapsed="false">
      <c r="B8" s="14" t="s">
        <v>58</v>
      </c>
      <c r="C8" s="10" t="n">
        <f aca="false">SUMIFS(Data!$D$2:$D$41,Data!$A$2:$A$41,$B8)</f>
        <v>293721079.3</v>
      </c>
      <c r="D8" s="10" t="n">
        <f aca="false">RANK(C8,$C$5:$C$23)</f>
        <v>4</v>
      </c>
      <c r="E8" s="15" t="n">
        <f aca="false">IFERROR(SUMIFS(Data!$E$2:$E$41,Data!$A$2:$A$41,$B8)/C8,0)</f>
        <v>0.0171786053354598</v>
      </c>
      <c r="F8" s="10" t="n">
        <f aca="false">RANK(E8,$E$5:$E$23)</f>
        <v>9</v>
      </c>
      <c r="G8" s="23" t="n">
        <f aca="false">D8-F8</f>
        <v>-5</v>
      </c>
      <c r="H8" s="9" t="str">
        <f aca="false">IF(G8&lt;=-5,"Flatters on volume",IF(G8&gt;=5,"Understated by volume",""))</f>
        <v>Flatters on volume</v>
      </c>
    </row>
    <row r="9" customFormat="false" ht="15" hidden="false" customHeight="false" outlineLevel="0" collapsed="false">
      <c r="B9" s="14" t="s">
        <v>42</v>
      </c>
      <c r="C9" s="10" t="n">
        <f aca="false">SUMIFS(Data!$D$2:$D$41,Data!$A$2:$A$41,$B9)</f>
        <v>313089419.68</v>
      </c>
      <c r="D9" s="10" t="n">
        <f aca="false">RANK(C9,$C$5:$C$23)</f>
        <v>3</v>
      </c>
      <c r="E9" s="15" t="n">
        <f aca="false">IFERROR(SUMIFS(Data!$E$2:$E$41,Data!$A$2:$A$41,$B9)/C9,0)</f>
        <v>0.0160509696722946</v>
      </c>
      <c r="F9" s="10" t="n">
        <f aca="false">RANK(E9,$E$5:$E$23)</f>
        <v>16</v>
      </c>
      <c r="G9" s="23" t="n">
        <f aca="false">D9-F9</f>
        <v>-13</v>
      </c>
      <c r="H9" s="9" t="str">
        <f aca="false">IF(G9&lt;=-5,"Flatters on volume",IF(G9&gt;=5,"Understated by volume",""))</f>
        <v>Flatters on volume</v>
      </c>
    </row>
    <row r="10" customFormat="false" ht="15" hidden="false" customHeight="false" outlineLevel="0" collapsed="false">
      <c r="B10" s="14" t="s">
        <v>57</v>
      </c>
      <c r="C10" s="10" t="n">
        <f aca="false">SUMIFS(Data!$D$2:$D$41,Data!$A$2:$A$41,$B10)</f>
        <v>289342138.33</v>
      </c>
      <c r="D10" s="10" t="n">
        <f aca="false">RANK(C10,$C$5:$C$23)</f>
        <v>5</v>
      </c>
      <c r="E10" s="15" t="n">
        <f aca="false">IFERROR(SUMIFS(Data!$E$2:$E$41,Data!$A$2:$A$41,$B10)/C10,0)</f>
        <v>0.0172742976838703</v>
      </c>
      <c r="F10" s="10" t="n">
        <f aca="false">RANK(E10,$E$5:$E$23)</f>
        <v>8</v>
      </c>
      <c r="G10" s="23" t="n">
        <f aca="false">D10-F10</f>
        <v>-3</v>
      </c>
      <c r="H10" s="9" t="str">
        <f aca="false">IF(G10&lt;=-5,"Flatters on volume",IF(G10&gt;=5,"Understated by volume",""))</f>
        <v/>
      </c>
    </row>
    <row r="11" customFormat="false" ht="15" hidden="false" customHeight="false" outlineLevel="0" collapsed="false">
      <c r="B11" s="14" t="s">
        <v>47</v>
      </c>
      <c r="C11" s="10" t="n">
        <f aca="false">SUMIFS(Data!$D$2:$D$41,Data!$A$2:$A$41,$B11)</f>
        <v>248570292.4</v>
      </c>
      <c r="D11" s="10" t="n">
        <f aca="false">RANK(C11,$C$5:$C$23)</f>
        <v>8</v>
      </c>
      <c r="E11" s="15" t="n">
        <f aca="false">IFERROR(SUMIFS(Data!$E$2:$E$41,Data!$A$2:$A$41,$B11)/C11,0)</f>
        <v>0.0174228463030927</v>
      </c>
      <c r="F11" s="10" t="n">
        <f aca="false">RANK(E11,$E$5:$E$23)</f>
        <v>7</v>
      </c>
      <c r="G11" s="23" t="n">
        <f aca="false">D11-F11</f>
        <v>1</v>
      </c>
      <c r="H11" s="9" t="str">
        <f aca="false">IF(G11&lt;=-5,"Flatters on volume",IF(G11&gt;=5,"Understated by volume",""))</f>
        <v/>
      </c>
    </row>
    <row r="12" customFormat="false" ht="15" hidden="false" customHeight="false" outlineLevel="0" collapsed="false">
      <c r="B12" s="14" t="s">
        <v>43</v>
      </c>
      <c r="C12" s="10" t="n">
        <f aca="false">SUMIFS(Data!$D$2:$D$41,Data!$A$2:$A$41,$B12)</f>
        <v>250895621.35</v>
      </c>
      <c r="D12" s="10" t="n">
        <f aca="false">RANK(C12,$C$5:$C$23)</f>
        <v>7</v>
      </c>
      <c r="E12" s="15" t="n">
        <f aca="false">IFERROR(SUMIFS(Data!$E$2:$E$41,Data!$A$2:$A$41,$B12)/C12,0)</f>
        <v>0.0162817064244473</v>
      </c>
      <c r="F12" s="10" t="n">
        <f aca="false">RANK(E12,$E$5:$E$23)</f>
        <v>14</v>
      </c>
      <c r="G12" s="23" t="n">
        <f aca="false">D12-F12</f>
        <v>-7</v>
      </c>
      <c r="H12" s="9" t="str">
        <f aca="false">IF(G12&lt;=-5,"Flatters on volume",IF(G12&gt;=5,"Understated by volume",""))</f>
        <v>Flatters on volume</v>
      </c>
    </row>
    <row r="13" customFormat="false" ht="15" hidden="false" customHeight="false" outlineLevel="0" collapsed="false">
      <c r="B13" s="14" t="s">
        <v>56</v>
      </c>
      <c r="C13" s="10" t="n">
        <f aca="false">SUMIFS(Data!$D$2:$D$41,Data!$A$2:$A$41,$B13)</f>
        <v>231134925.94</v>
      </c>
      <c r="D13" s="10" t="n">
        <f aca="false">RANK(C13,$C$5:$C$23)</f>
        <v>9</v>
      </c>
      <c r="E13" s="15" t="n">
        <f aca="false">IFERROR(SUMIFS(Data!$E$2:$E$41,Data!$A$2:$A$41,$B13)/C13,0)</f>
        <v>0.0160920476421877</v>
      </c>
      <c r="F13" s="10" t="n">
        <f aca="false">RANK(E13,$E$5:$E$23)</f>
        <v>15</v>
      </c>
      <c r="G13" s="23" t="n">
        <f aca="false">D13-F13</f>
        <v>-6</v>
      </c>
      <c r="H13" s="9" t="str">
        <f aca="false">IF(G13&lt;=-5,"Flatters on volume",IF(G13&gt;=5,"Understated by volume",""))</f>
        <v>Flatters on volume</v>
      </c>
    </row>
    <row r="14" customFormat="false" ht="15" hidden="false" customHeight="false" outlineLevel="0" collapsed="false">
      <c r="B14" s="14" t="s">
        <v>45</v>
      </c>
      <c r="C14" s="10" t="n">
        <f aca="false">SUMIFS(Data!$D$2:$D$41,Data!$A$2:$A$41,$B14)</f>
        <v>230079759.49</v>
      </c>
      <c r="D14" s="10" t="n">
        <f aca="false">RANK(C14,$C$5:$C$23)</f>
        <v>10</v>
      </c>
      <c r="E14" s="15" t="n">
        <f aca="false">IFERROR(SUMIFS(Data!$E$2:$E$41,Data!$A$2:$A$41,$B14)/C14,0)</f>
        <v>0.0143795864413871</v>
      </c>
      <c r="F14" s="10" t="n">
        <f aca="false">RANK(E14,$E$5:$E$23)</f>
        <v>19</v>
      </c>
      <c r="G14" s="23" t="n">
        <f aca="false">D14-F14</f>
        <v>-9</v>
      </c>
      <c r="H14" s="9" t="str">
        <f aca="false">IF(G14&lt;=-5,"Flatters on volume",IF(G14&gt;=5,"Understated by volume",""))</f>
        <v>Flatters on volume</v>
      </c>
    </row>
    <row r="15" customFormat="false" ht="15" hidden="false" customHeight="false" outlineLevel="0" collapsed="false">
      <c r="B15" s="14" t="s">
        <v>54</v>
      </c>
      <c r="C15" s="10" t="n">
        <f aca="false">SUMIFS(Data!$D$2:$D$41,Data!$A$2:$A$41,$B15)</f>
        <v>152264842.02</v>
      </c>
      <c r="D15" s="10" t="n">
        <f aca="false">RANK(C15,$C$5:$C$23)</f>
        <v>11</v>
      </c>
      <c r="E15" s="15" t="n">
        <f aca="false">IFERROR(SUMIFS(Data!$E$2:$E$41,Data!$A$2:$A$41,$B15)/C15,0)</f>
        <v>0.0169730089081269</v>
      </c>
      <c r="F15" s="10" t="n">
        <f aca="false">RANK(E15,$E$5:$E$23)</f>
        <v>11</v>
      </c>
      <c r="G15" s="23" t="n">
        <f aca="false">D15-F15</f>
        <v>0</v>
      </c>
      <c r="H15" s="9" t="str">
        <f aca="false">IF(G15&lt;=-5,"Flatters on volume",IF(G15&gt;=5,"Understated by volume",""))</f>
        <v/>
      </c>
    </row>
    <row r="16" customFormat="false" ht="15" hidden="false" customHeight="false" outlineLevel="0" collapsed="false">
      <c r="B16" s="14" t="s">
        <v>48</v>
      </c>
      <c r="C16" s="10" t="n">
        <f aca="false">SUMIFS(Data!$D$2:$D$41,Data!$A$2:$A$41,$B16)</f>
        <v>97062412.4229</v>
      </c>
      <c r="D16" s="10" t="n">
        <f aca="false">RANK(C16,$C$5:$C$23)</f>
        <v>12</v>
      </c>
      <c r="E16" s="15" t="n">
        <f aca="false">IFERROR(SUMIFS(Data!$E$2:$E$41,Data!$A$2:$A$41,$B16)/C16,0)</f>
        <v>0.016597289410869</v>
      </c>
      <c r="F16" s="10" t="n">
        <f aca="false">RANK(E16,$E$5:$E$23)</f>
        <v>13</v>
      </c>
      <c r="G16" s="23" t="n">
        <f aca="false">D16-F16</f>
        <v>-1</v>
      </c>
      <c r="H16" s="9" t="str">
        <f aca="false">IF(G16&lt;=-5,"Flatters on volume",IF(G16&gt;=5,"Understated by volume",""))</f>
        <v/>
      </c>
    </row>
    <row r="17" customFormat="false" ht="15" hidden="false" customHeight="false" outlineLevel="0" collapsed="false">
      <c r="B17" s="14" t="s">
        <v>44</v>
      </c>
      <c r="C17" s="10" t="n">
        <f aca="false">SUMIFS(Data!$D$2:$D$41,Data!$A$2:$A$41,$B17)</f>
        <v>83609640.67</v>
      </c>
      <c r="D17" s="10" t="n">
        <f aca="false">RANK(C17,$C$5:$C$23)</f>
        <v>14</v>
      </c>
      <c r="E17" s="15" t="n">
        <f aca="false">IFERROR(SUMIFS(Data!$E$2:$E$41,Data!$A$2:$A$41,$B17)/C17,0)</f>
        <v>0.0179779874420551</v>
      </c>
      <c r="F17" s="10" t="n">
        <f aca="false">RANK(E17,$E$5:$E$23)</f>
        <v>6</v>
      </c>
      <c r="G17" s="23" t="n">
        <f aca="false">D17-F17</f>
        <v>8</v>
      </c>
      <c r="H17" s="9" t="str">
        <f aca="false">IF(G17&lt;=-5,"Flatters on volume",IF(G17&gt;=5,"Understated by volume",""))</f>
        <v>Understated by volume</v>
      </c>
    </row>
    <row r="18" customFormat="false" ht="15" hidden="false" customHeight="false" outlineLevel="0" collapsed="false">
      <c r="B18" s="14" t="s">
        <v>38</v>
      </c>
      <c r="C18" s="10" t="n">
        <f aca="false">SUMIFS(Data!$D$2:$D$41,Data!$A$2:$A$41,$B18)</f>
        <v>64509591.77</v>
      </c>
      <c r="D18" s="10" t="n">
        <f aca="false">RANK(C18,$C$5:$C$23)</f>
        <v>17</v>
      </c>
      <c r="E18" s="15" t="n">
        <f aca="false">IFERROR(SUMIFS(Data!$E$2:$E$41,Data!$A$2:$A$41,$B18)/C18,0)</f>
        <v>0.0222483716083203</v>
      </c>
      <c r="F18" s="10" t="n">
        <f aca="false">RANK(E18,$E$5:$E$23)</f>
        <v>2</v>
      </c>
      <c r="G18" s="23" t="n">
        <f aca="false">D18-F18</f>
        <v>15</v>
      </c>
      <c r="H18" s="9" t="str">
        <f aca="false">IF(G18&lt;=-5,"Flatters on volume",IF(G18&gt;=5,"Understated by volume",""))</f>
        <v>Understated by volume</v>
      </c>
    </row>
    <row r="19" customFormat="false" ht="15" hidden="false" customHeight="false" outlineLevel="0" collapsed="false">
      <c r="B19" s="14" t="s">
        <v>49</v>
      </c>
      <c r="C19" s="10" t="n">
        <f aca="false">SUMIFS(Data!$D$2:$D$41,Data!$A$2:$A$41,$B19)</f>
        <v>82731459.68</v>
      </c>
      <c r="D19" s="10" t="n">
        <f aca="false">RANK(C19,$C$5:$C$23)</f>
        <v>15</v>
      </c>
      <c r="E19" s="15" t="n">
        <f aca="false">IFERROR(SUMIFS(Data!$E$2:$E$41,Data!$A$2:$A$41,$B19)/C19,0)</f>
        <v>0.0167318500767929</v>
      </c>
      <c r="F19" s="10" t="n">
        <f aca="false">RANK(E19,$E$5:$E$23)</f>
        <v>12</v>
      </c>
      <c r="G19" s="23" t="n">
        <f aca="false">D19-F19</f>
        <v>3</v>
      </c>
      <c r="H19" s="9" t="str">
        <f aca="false">IF(G19&lt;=-5,"Flatters on volume",IF(G19&gt;=5,"Understated by volume",""))</f>
        <v/>
      </c>
    </row>
    <row r="20" customFormat="false" ht="15" hidden="false" customHeight="false" outlineLevel="0" collapsed="false">
      <c r="B20" s="14" t="s">
        <v>52</v>
      </c>
      <c r="C20" s="10" t="n">
        <f aca="false">SUMIFS(Data!$D$2:$D$41,Data!$A$2:$A$41,$B20)</f>
        <v>88011328.99</v>
      </c>
      <c r="D20" s="10" t="n">
        <f aca="false">RANK(C20,$C$5:$C$23)</f>
        <v>13</v>
      </c>
      <c r="E20" s="15" t="n">
        <f aca="false">IFERROR(SUMIFS(Data!$E$2:$E$41,Data!$A$2:$A$41,$B20)/C20,0)</f>
        <v>0.0149229878138669</v>
      </c>
      <c r="F20" s="10" t="n">
        <f aca="false">RANK(E20,$E$5:$E$23)</f>
        <v>17</v>
      </c>
      <c r="G20" s="23" t="n">
        <f aca="false">D20-F20</f>
        <v>-4</v>
      </c>
      <c r="H20" s="9" t="str">
        <f aca="false">IF(G20&lt;=-5,"Flatters on volume",IF(G20&gt;=5,"Understated by volume",""))</f>
        <v/>
      </c>
    </row>
    <row r="21" customFormat="false" ht="15" hidden="false" customHeight="false" outlineLevel="0" collapsed="false">
      <c r="B21" s="14" t="s">
        <v>51</v>
      </c>
      <c r="C21" s="10" t="n">
        <f aca="false">SUMIFS(Data!$D$2:$D$41,Data!$A$2:$A$41,$B21)</f>
        <v>62155877.35</v>
      </c>
      <c r="D21" s="10" t="n">
        <f aca="false">RANK(C21,$C$5:$C$23)</f>
        <v>18</v>
      </c>
      <c r="E21" s="15" t="n">
        <f aca="false">IFERROR(SUMIFS(Data!$E$2:$E$41,Data!$A$2:$A$41,$B21)/C21,0)</f>
        <v>0.0207871291515122</v>
      </c>
      <c r="F21" s="10" t="n">
        <f aca="false">RANK(E21,$E$5:$E$23)</f>
        <v>3</v>
      </c>
      <c r="G21" s="23" t="n">
        <f aca="false">D21-F21</f>
        <v>15</v>
      </c>
      <c r="H21" s="9" t="str">
        <f aca="false">IF(G21&lt;=-5,"Flatters on volume",IF(G21&gt;=5,"Understated by volume",""))</f>
        <v>Understated by volume</v>
      </c>
    </row>
    <row r="22" customFormat="false" ht="15" hidden="false" customHeight="false" outlineLevel="0" collapsed="false">
      <c r="B22" s="14" t="s">
        <v>41</v>
      </c>
      <c r="C22" s="10" t="n">
        <f aca="false">SUMIFS(Data!$D$2:$D$41,Data!$A$2:$A$41,$B22)</f>
        <v>72098164.24</v>
      </c>
      <c r="D22" s="10" t="n">
        <f aca="false">RANK(C22,$C$5:$C$23)</f>
        <v>16</v>
      </c>
      <c r="E22" s="15" t="n">
        <f aca="false">IFERROR(SUMIFS(Data!$E$2:$E$41,Data!$A$2:$A$41,$B22)/C22,0)</f>
        <v>0.014807273545083</v>
      </c>
      <c r="F22" s="10" t="n">
        <f aca="false">RANK(E22,$E$5:$E$23)</f>
        <v>18</v>
      </c>
      <c r="G22" s="23" t="n">
        <f aca="false">D22-F22</f>
        <v>-2</v>
      </c>
      <c r="H22" s="9" t="str">
        <f aca="false">IF(G22&lt;=-5,"Flatters on volume",IF(G22&gt;=5,"Understated by volume",""))</f>
        <v/>
      </c>
    </row>
    <row r="23" customFormat="false" ht="15" hidden="false" customHeight="false" outlineLevel="0" collapsed="false">
      <c r="B23" s="14" t="s">
        <v>50</v>
      </c>
      <c r="C23" s="10" t="n">
        <f aca="false">SUMIFS(Data!$D$2:$D$41,Data!$A$2:$A$41,$B23)</f>
        <v>3510046</v>
      </c>
      <c r="D23" s="10" t="n">
        <f aca="false">RANK(C23,$C$5:$C$23)</f>
        <v>19</v>
      </c>
      <c r="E23" s="15" t="n">
        <f aca="false">IFERROR(SUMIFS(Data!$E$2:$E$41,Data!$A$2:$A$41,$B23)/C23,0)</f>
        <v>0.025640689609196</v>
      </c>
      <c r="F23" s="10" t="n">
        <f aca="false">RANK(E23,$E$5:$E$23)</f>
        <v>1</v>
      </c>
      <c r="G23" s="23" t="n">
        <f aca="false">D23-F23</f>
        <v>18</v>
      </c>
      <c r="H23" s="9" t="str">
        <f aca="false">IF(G23&lt;=-5,"Flatters on volume",IF(G23&gt;=5,"Understated by volume",""))</f>
        <v>Understated by volume</v>
      </c>
    </row>
    <row r="25" customFormat="false" ht="15" hidden="false" customHeight="false" outlineLevel="0" collapsed="false">
      <c r="B25" s="3" t="s">
        <v>77</v>
      </c>
    </row>
    <row r="26" customFormat="false" ht="15" hidden="false" customHeight="false" outlineLevel="0" collapsed="false">
      <c r="B26" s="6" t="s">
        <v>78</v>
      </c>
    </row>
    <row r="27" customFormat="false" ht="15" hidden="false" customHeight="false" outlineLevel="0" collapsed="false">
      <c r="B27" s="6" t="s">
        <v>79</v>
      </c>
    </row>
    <row r="28" customFormat="false" ht="15" hidden="false" customHeight="false" outlineLevel="0" collapsed="false">
      <c r="B28" s="6" t="s">
        <v>80</v>
      </c>
    </row>
    <row r="29" customFormat="false" ht="15" hidden="false" customHeight="false" outlineLevel="0" collapsed="false">
      <c r="B29" s="6"/>
    </row>
    <row r="30" customFormat="false" ht="15" hidden="false" customHeight="false" outlineLevel="0" collapsed="false">
      <c r="B30" s="6" t="s">
        <v>81</v>
      </c>
    </row>
    <row r="31" customFormat="false" ht="15" hidden="false" customHeight="false" outlineLevel="0" collapsed="false">
      <c r="B31" s="6" t="s">
        <v>82</v>
      </c>
    </row>
  </sheetData>
  <conditionalFormatting sqref="G5:G23">
    <cfRule type="cellIs" priority="2" operator="lessThanOrEqual" aboveAverage="0" equalAverage="0" bottom="0" percent="0" rank="0" text="" dxfId="5">
      <formula>-5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5" min="3" style="0" width="18"/>
    <col collapsed="false" customWidth="true" hidden="false" outlineLevel="0" max="6" min="6" style="0" width="13"/>
    <col collapsed="false" customWidth="true" hidden="false" outlineLevel="0" max="8" min="7" style="0" width="17"/>
    <col collapsed="false" customWidth="true" hidden="false" outlineLevel="0" max="9" min="9" style="0" width="14"/>
  </cols>
  <sheetData>
    <row r="1" customFormat="false" ht="19.7" hidden="false" customHeight="false" outlineLevel="0" collapsed="false">
      <c r="B1" s="1" t="s">
        <v>83</v>
      </c>
    </row>
    <row r="2" customFormat="false" ht="15" hidden="false" customHeight="false" outlineLevel="0" collapsed="false">
      <c r="B2" s="12" t="s">
        <v>84</v>
      </c>
    </row>
    <row r="4" customFormat="false" ht="23.85" hidden="false" customHeight="false" outlineLevel="0" collapsed="false">
      <c r="B4" s="13" t="s">
        <v>33</v>
      </c>
      <c r="C4" s="13" t="s">
        <v>85</v>
      </c>
      <c r="D4" s="13" t="s">
        <v>86</v>
      </c>
      <c r="E4" s="13" t="s">
        <v>87</v>
      </c>
      <c r="F4" s="13" t="s">
        <v>88</v>
      </c>
      <c r="G4" s="13" t="s">
        <v>89</v>
      </c>
      <c r="H4" s="13" t="s">
        <v>90</v>
      </c>
      <c r="I4" s="13" t="s">
        <v>91</v>
      </c>
    </row>
    <row r="5" customFormat="false" ht="15" hidden="false" customHeight="false" outlineLevel="0" collapsed="false">
      <c r="B5" s="14" t="s">
        <v>55</v>
      </c>
      <c r="C5" s="10" t="n">
        <f aca="false">SUMIFS(Data!$D$2:$D$41,Data!$A$2:$A$41,$B5,Data!$B$2:$B$41,"Crypto")</f>
        <v>161634112.5</v>
      </c>
      <c r="D5" s="10" t="n">
        <f aca="false">SUMIFS(Data!$D$2:$D$41,Data!$A$2:$A$41,$B5,Data!$B$2:$B$41,"Gift Card")</f>
        <v>195500707.05</v>
      </c>
      <c r="E5" s="10" t="n">
        <f aca="false">C5+D5</f>
        <v>357134819.55</v>
      </c>
      <c r="F5" s="16" t="n">
        <f aca="false">IFERROR(C5/E5,0)</f>
        <v>0.452585700558863</v>
      </c>
      <c r="G5" s="10" t="n">
        <f aca="false">SUMIFS(Data!$E$2:$E$41,Data!$A$2:$A$41,$B5,Data!$B$2:$B$41,"Crypto")</f>
        <v>1177479</v>
      </c>
      <c r="H5" s="10" t="n">
        <f aca="false">SUMIFS(Data!$E$2:$E$41,Data!$A$2:$A$41,$B5,Data!$B$2:$B$41,"Gift Card")</f>
        <v>5487428.55</v>
      </c>
      <c r="I5" s="15" t="n">
        <f aca="false">IFERROR((G5+H5)/E5,0)</f>
        <v>0.0186621611367886</v>
      </c>
    </row>
    <row r="6" customFormat="false" ht="15" hidden="false" customHeight="false" outlineLevel="0" collapsed="false">
      <c r="B6" s="14" t="s">
        <v>53</v>
      </c>
      <c r="C6" s="10" t="n">
        <f aca="false">SUMIFS(Data!$D$2:$D$41,Data!$A$2:$A$41,$B6,Data!$B$2:$B$41,"Crypto")</f>
        <v>192064221.09</v>
      </c>
      <c r="D6" s="10" t="n">
        <f aca="false">SUMIFS(Data!$D$2:$D$41,Data!$A$2:$A$41,$B6,Data!$B$2:$B$41,"Gift Card")</f>
        <v>170734624</v>
      </c>
      <c r="E6" s="10" t="n">
        <f aca="false">C6+D6</f>
        <v>362798845.09</v>
      </c>
      <c r="F6" s="16" t="n">
        <f aca="false">IFERROR(C6/E6,0)</f>
        <v>0.529395899930041</v>
      </c>
      <c r="G6" s="10" t="n">
        <f aca="false">SUMIFS(Data!$E$2:$E$41,Data!$A$2:$A$41,$B6,Data!$B$2:$B$41,"Crypto")</f>
        <v>1396410.79</v>
      </c>
      <c r="H6" s="10" t="n">
        <f aca="false">SUMIFS(Data!$E$2:$E$41,Data!$A$2:$A$41,$B6,Data!$B$2:$B$41,"Gift Card")</f>
        <v>4781464</v>
      </c>
      <c r="I6" s="15" t="n">
        <f aca="false">IFERROR((G6+H6)/E6,0)</f>
        <v>0.0170283750172012</v>
      </c>
    </row>
    <row r="7" customFormat="false" ht="15" hidden="false" customHeight="false" outlineLevel="0" collapsed="false">
      <c r="B7" s="14" t="s">
        <v>46</v>
      </c>
      <c r="C7" s="10" t="n">
        <f aca="false">SUMIFS(Data!$D$2:$D$41,Data!$A$2:$A$41,$B7,Data!$B$2:$B$41,"Crypto")</f>
        <v>125566371.9</v>
      </c>
      <c r="D7" s="10" t="n">
        <f aca="false">SUMIFS(Data!$D$2:$D$41,Data!$A$2:$A$41,$B7,Data!$B$2:$B$41,"Gift Card")</f>
        <v>148176254</v>
      </c>
      <c r="E7" s="10" t="n">
        <f aca="false">C7+D7</f>
        <v>273742625.9</v>
      </c>
      <c r="F7" s="16" t="n">
        <f aca="false">IFERROR(C7/E7,0)</f>
        <v>0.458702299238812</v>
      </c>
      <c r="G7" s="10" t="n">
        <f aca="false">SUMIFS(Data!$E$2:$E$41,Data!$A$2:$A$41,$B7,Data!$B$2:$B$41,"Crypto")</f>
        <v>917472.799999998</v>
      </c>
      <c r="H7" s="10" t="n">
        <f aca="false">SUMIFS(Data!$E$2:$E$41,Data!$A$2:$A$41,$B7,Data!$B$2:$B$41,"Gift Card")</f>
        <v>4139376.5</v>
      </c>
      <c r="I7" s="15" t="n">
        <f aca="false">IFERROR((G7+H7)/E7,0)</f>
        <v>0.0184730064723179</v>
      </c>
    </row>
    <row r="8" customFormat="false" ht="15" hidden="false" customHeight="false" outlineLevel="0" collapsed="false">
      <c r="B8" s="14" t="s">
        <v>58</v>
      </c>
      <c r="C8" s="10" t="n">
        <f aca="false">SUMIFS(Data!$D$2:$D$41,Data!$A$2:$A$41,$B8,Data!$B$2:$B$41,"Crypto")</f>
        <v>150030374.3</v>
      </c>
      <c r="D8" s="10" t="n">
        <f aca="false">SUMIFS(Data!$D$2:$D$41,Data!$A$2:$A$41,$B8,Data!$B$2:$B$41,"Gift Card")</f>
        <v>143690705</v>
      </c>
      <c r="E8" s="10" t="n">
        <f aca="false">C8+D8</f>
        <v>293721079.3</v>
      </c>
      <c r="F8" s="16" t="n">
        <f aca="false">IFERROR(C8/E8,0)</f>
        <v>0.510791988976598</v>
      </c>
      <c r="G8" s="10" t="n">
        <f aca="false">SUMIFS(Data!$E$2:$E$41,Data!$A$2:$A$41,$B8,Data!$B$2:$B$41,"Crypto")</f>
        <v>1091273.5</v>
      </c>
      <c r="H8" s="10" t="n">
        <f aca="false">SUMIFS(Data!$E$2:$E$41,Data!$A$2:$A$41,$B8,Data!$B$2:$B$41,"Gift Card")</f>
        <v>3954445</v>
      </c>
      <c r="I8" s="15" t="n">
        <f aca="false">IFERROR((G8+H8)/E8,0)</f>
        <v>0.0171786053354598</v>
      </c>
    </row>
    <row r="9" customFormat="false" ht="15" hidden="false" customHeight="false" outlineLevel="0" collapsed="false">
      <c r="B9" s="14" t="s">
        <v>42</v>
      </c>
      <c r="C9" s="10" t="n">
        <f aca="false">SUMIFS(Data!$D$2:$D$41,Data!$A$2:$A$41,$B9,Data!$B$2:$B$41,"Crypto")</f>
        <v>178743509.48</v>
      </c>
      <c r="D9" s="10" t="n">
        <f aca="false">SUMIFS(Data!$D$2:$D$41,Data!$A$2:$A$41,$B9,Data!$B$2:$B$41,"Gift Card")</f>
        <v>134345910.2</v>
      </c>
      <c r="E9" s="10" t="n">
        <f aca="false">C9+D9</f>
        <v>313089419.68</v>
      </c>
      <c r="F9" s="16" t="n">
        <f aca="false">IFERROR(C9/E9,0)</f>
        <v>0.570902426733835</v>
      </c>
      <c r="G9" s="10" t="n">
        <f aca="false">SUMIFS(Data!$E$2:$E$41,Data!$A$2:$A$41,$B9,Data!$B$2:$B$41,"Crypto")</f>
        <v>1297191.58</v>
      </c>
      <c r="H9" s="10" t="n">
        <f aca="false">SUMIFS(Data!$E$2:$E$41,Data!$A$2:$A$41,$B9,Data!$B$2:$B$41,"Gift Card")</f>
        <v>3728197.2</v>
      </c>
      <c r="I9" s="15" t="n">
        <f aca="false">IFERROR((G9+H9)/E9,0)</f>
        <v>0.0160509696722946</v>
      </c>
    </row>
    <row r="10" customFormat="false" ht="15" hidden="false" customHeight="false" outlineLevel="0" collapsed="false">
      <c r="B10" s="14" t="s">
        <v>57</v>
      </c>
      <c r="C10" s="10" t="n">
        <f aca="false">SUMIFS(Data!$D$2:$D$41,Data!$A$2:$A$41,$B10,Data!$B$2:$B$41,"Crypto")</f>
        <v>151524077.61</v>
      </c>
      <c r="D10" s="10" t="n">
        <f aca="false">SUMIFS(Data!$D$2:$D$41,Data!$A$2:$A$41,$B10,Data!$B$2:$B$41,"Gift Card")</f>
        <v>137818060.72</v>
      </c>
      <c r="E10" s="10" t="n">
        <f aca="false">C10+D10</f>
        <v>289342138.33</v>
      </c>
      <c r="F10" s="16" t="n">
        <f aca="false">IFERROR(C10/E10,0)</f>
        <v>0.523684792282775</v>
      </c>
      <c r="G10" s="10" t="n">
        <f aca="false">SUMIFS(Data!$E$2:$E$41,Data!$A$2:$A$41,$B10,Data!$B$2:$B$41,"Crypto")</f>
        <v>1105881.71</v>
      </c>
      <c r="H10" s="10" t="n">
        <f aca="false">SUMIFS(Data!$E$2:$E$41,Data!$A$2:$A$41,$B10,Data!$B$2:$B$41,"Gift Card")</f>
        <v>3892300.52</v>
      </c>
      <c r="I10" s="15" t="n">
        <f aca="false">IFERROR((G10+H10)/E10,0)</f>
        <v>0.0172742976838703</v>
      </c>
    </row>
    <row r="11" customFormat="false" ht="15" hidden="false" customHeight="false" outlineLevel="0" collapsed="false">
      <c r="B11" s="14" t="s">
        <v>47</v>
      </c>
      <c r="C11" s="10" t="n">
        <f aca="false">SUMIFS(Data!$D$2:$D$41,Data!$A$2:$A$41,$B11,Data!$B$2:$B$41,"Crypto")</f>
        <v>127888130.4</v>
      </c>
      <c r="D11" s="10" t="n">
        <f aca="false">SUMIFS(Data!$D$2:$D$41,Data!$A$2:$A$41,$B11,Data!$B$2:$B$41,"Gift Card")</f>
        <v>120682162</v>
      </c>
      <c r="E11" s="10" t="n">
        <f aca="false">C11+D11</f>
        <v>248570292.4</v>
      </c>
      <c r="F11" s="16" t="n">
        <f aca="false">IFERROR(C11/E11,0)</f>
        <v>0.514494830276025</v>
      </c>
      <c r="G11" s="10" t="n">
        <f aca="false">SUMIFS(Data!$E$2:$E$41,Data!$A$2:$A$41,$B11,Data!$B$2:$B$41,"Crypto")</f>
        <v>931080</v>
      </c>
      <c r="H11" s="10" t="n">
        <f aca="false">SUMIFS(Data!$E$2:$E$41,Data!$A$2:$A$41,$B11,Data!$B$2:$B$41,"Gift Card")</f>
        <v>3399722</v>
      </c>
      <c r="I11" s="15" t="n">
        <f aca="false">IFERROR((G11+H11)/E11,0)</f>
        <v>0.0174228463030927</v>
      </c>
    </row>
    <row r="12" customFormat="false" ht="15" hidden="false" customHeight="false" outlineLevel="0" collapsed="false">
      <c r="B12" s="14" t="s">
        <v>43</v>
      </c>
      <c r="C12" s="10" t="n">
        <f aca="false">SUMIFS(Data!$D$2:$D$41,Data!$A$2:$A$41,$B12,Data!$B$2:$B$41,"Crypto")</f>
        <v>143018461.96</v>
      </c>
      <c r="D12" s="10" t="n">
        <f aca="false">SUMIFS(Data!$D$2:$D$41,Data!$A$2:$A$41,$B12,Data!$B$2:$B$41,"Gift Card")</f>
        <v>107877159.39</v>
      </c>
      <c r="E12" s="10" t="n">
        <f aca="false">C12+D12</f>
        <v>250895621.35</v>
      </c>
      <c r="F12" s="16" t="n">
        <f aca="false">IFERROR(C12/E12,0)</f>
        <v>0.570031717534396</v>
      </c>
      <c r="G12" s="10" t="n">
        <f aca="false">SUMIFS(Data!$E$2:$E$41,Data!$A$2:$A$41,$B12,Data!$B$2:$B$41,"Crypto")</f>
        <v>1038054.76</v>
      </c>
      <c r="H12" s="10" t="n">
        <f aca="false">SUMIFS(Data!$E$2:$E$41,Data!$A$2:$A$41,$B12,Data!$B$2:$B$41,"Gift Card")</f>
        <v>3046954.09</v>
      </c>
      <c r="I12" s="15" t="n">
        <f aca="false">IFERROR((G12+H12)/E12,0)</f>
        <v>0.0162817064244473</v>
      </c>
    </row>
    <row r="13" customFormat="false" ht="15" hidden="false" customHeight="false" outlineLevel="0" collapsed="false">
      <c r="B13" s="14" t="s">
        <v>56</v>
      </c>
      <c r="C13" s="10" t="n">
        <f aca="false">SUMIFS(Data!$D$2:$D$41,Data!$A$2:$A$41,$B13,Data!$B$2:$B$41,"Crypto")</f>
        <v>130757912.74</v>
      </c>
      <c r="D13" s="10" t="n">
        <f aca="false">SUMIFS(Data!$D$2:$D$41,Data!$A$2:$A$41,$B13,Data!$B$2:$B$41,"Gift Card")</f>
        <v>100377013.2</v>
      </c>
      <c r="E13" s="10" t="n">
        <f aca="false">C13+D13</f>
        <v>231134925.94</v>
      </c>
      <c r="F13" s="16" t="n">
        <f aca="false">IFERROR(C13/E13,0)</f>
        <v>0.565721135428677</v>
      </c>
      <c r="G13" s="10" t="n">
        <f aca="false">SUMIFS(Data!$E$2:$E$41,Data!$A$2:$A$41,$B13,Data!$B$2:$B$41,"Crypto")</f>
        <v>947138.040000001</v>
      </c>
      <c r="H13" s="10" t="n">
        <f aca="false">SUMIFS(Data!$E$2:$E$41,Data!$A$2:$A$41,$B13,Data!$B$2:$B$41,"Gift Card")</f>
        <v>2772296.2</v>
      </c>
      <c r="I13" s="15" t="n">
        <f aca="false">IFERROR((G13+H13)/E13,0)</f>
        <v>0.0160920476421877</v>
      </c>
    </row>
    <row r="14" customFormat="false" ht="15" hidden="false" customHeight="false" outlineLevel="0" collapsed="false">
      <c r="B14" s="14" t="s">
        <v>45</v>
      </c>
      <c r="C14" s="10" t="n">
        <f aca="false">SUMIFS(Data!$D$2:$D$41,Data!$A$2:$A$41,$B14,Data!$B$2:$B$41,"Crypto")</f>
        <v>148417315.05</v>
      </c>
      <c r="D14" s="10" t="n">
        <f aca="false">SUMIFS(Data!$D$2:$D$41,Data!$A$2:$A$41,$B14,Data!$B$2:$B$41,"Gift Card")</f>
        <v>81662444.44</v>
      </c>
      <c r="E14" s="10" t="n">
        <f aca="false">C14+D14</f>
        <v>230079759.49</v>
      </c>
      <c r="F14" s="16" t="n">
        <f aca="false">IFERROR(C14/E14,0)</f>
        <v>0.645068976858222</v>
      </c>
      <c r="G14" s="10" t="n">
        <f aca="false">SUMIFS(Data!$E$2:$E$41,Data!$A$2:$A$41,$B14,Data!$B$2:$B$41,"Crypto")</f>
        <v>1081331.45</v>
      </c>
      <c r="H14" s="10" t="n">
        <f aca="false">SUMIFS(Data!$E$2:$E$41,Data!$A$2:$A$41,$B14,Data!$B$2:$B$41,"Gift Card")</f>
        <v>2227120.34</v>
      </c>
      <c r="I14" s="15" t="n">
        <f aca="false">IFERROR((G14+H14)/E14,0)</f>
        <v>0.0143795864413871</v>
      </c>
    </row>
    <row r="15" customFormat="false" ht="15" hidden="false" customHeight="false" outlineLevel="0" collapsed="false">
      <c r="B15" s="14" t="s">
        <v>54</v>
      </c>
      <c r="C15" s="10" t="n">
        <f aca="false">SUMIFS(Data!$D$2:$D$41,Data!$A$2:$A$41,$B15,Data!$B$2:$B$41,"Crypto")</f>
        <v>77101672.02</v>
      </c>
      <c r="D15" s="10" t="n">
        <f aca="false">SUMIFS(Data!$D$2:$D$41,Data!$A$2:$A$41,$B15,Data!$B$2:$B$41,"Gift Card")</f>
        <v>75163170</v>
      </c>
      <c r="E15" s="10" t="n">
        <f aca="false">C15+D15</f>
        <v>152264842.02</v>
      </c>
      <c r="F15" s="16" t="n">
        <f aca="false">IFERROR(C15/E15,0)</f>
        <v>0.506365560146003</v>
      </c>
      <c r="G15" s="10" t="n">
        <f aca="false">SUMIFS(Data!$E$2:$E$41,Data!$A$2:$A$41,$B15,Data!$B$2:$B$41,"Crypto")</f>
        <v>557912.519999999</v>
      </c>
      <c r="H15" s="10" t="n">
        <f aca="false">SUMIFS(Data!$E$2:$E$41,Data!$A$2:$A$41,$B15,Data!$B$2:$B$41,"Gift Card")</f>
        <v>2026480</v>
      </c>
      <c r="I15" s="15" t="n">
        <f aca="false">IFERROR((G15+H15)/E15,0)</f>
        <v>0.0169730089081269</v>
      </c>
    </row>
    <row r="16" customFormat="false" ht="15" hidden="false" customHeight="false" outlineLevel="0" collapsed="false">
      <c r="B16" s="14" t="s">
        <v>48</v>
      </c>
      <c r="C16" s="10" t="n">
        <f aca="false">SUMIFS(Data!$D$2:$D$41,Data!$A$2:$A$41,$B16,Data!$B$2:$B$41,"Crypto")</f>
        <v>42835812.4229</v>
      </c>
      <c r="D16" s="10" t="n">
        <f aca="false">SUMIFS(Data!$D$2:$D$41,Data!$A$2:$A$41,$B16,Data!$B$2:$B$41,"Gift Card")</f>
        <v>54226600</v>
      </c>
      <c r="E16" s="10" t="n">
        <f aca="false">C16+D16</f>
        <v>97062412.4229</v>
      </c>
      <c r="F16" s="16" t="n">
        <f aca="false">IFERROR(C16/E16,0)</f>
        <v>0.441322354901553</v>
      </c>
      <c r="G16" s="10" t="n">
        <f aca="false">SUMIFS(Data!$E$2:$E$41,Data!$A$2:$A$41,$B16,Data!$B$2:$B$41,"Crypto")</f>
        <v>311887.9499</v>
      </c>
      <c r="H16" s="10" t="n">
        <f aca="false">SUMIFS(Data!$E$2:$E$41,Data!$A$2:$A$41,$B16,Data!$B$2:$B$41,"Gift Card")</f>
        <v>1299085</v>
      </c>
      <c r="I16" s="15" t="n">
        <f aca="false">IFERROR((G16+H16)/E16,0)</f>
        <v>0.016597289410869</v>
      </c>
    </row>
    <row r="17" customFormat="false" ht="15" hidden="false" customHeight="false" outlineLevel="0" collapsed="false">
      <c r="B17" s="14" t="s">
        <v>44</v>
      </c>
      <c r="C17" s="10" t="n">
        <f aca="false">SUMIFS(Data!$D$2:$D$41,Data!$A$2:$A$41,$B17,Data!$B$2:$B$41,"Crypto")</f>
        <v>40180981.67</v>
      </c>
      <c r="D17" s="10" t="n">
        <f aca="false">SUMIFS(Data!$D$2:$D$41,Data!$A$2:$A$41,$B17,Data!$B$2:$B$41,"Gift Card")</f>
        <v>43428659</v>
      </c>
      <c r="E17" s="10" t="n">
        <f aca="false">C17+D17</f>
        <v>83609640.67</v>
      </c>
      <c r="F17" s="16" t="n">
        <f aca="false">IFERROR(C17/E17,0)</f>
        <v>0.480578332211603</v>
      </c>
      <c r="G17" s="10" t="n">
        <f aca="false">SUMIFS(Data!$E$2:$E$41,Data!$A$2:$A$41,$B17,Data!$B$2:$B$41,"Crypto")</f>
        <v>296474.07</v>
      </c>
      <c r="H17" s="10" t="n">
        <f aca="false">SUMIFS(Data!$E$2:$E$41,Data!$A$2:$A$41,$B17,Data!$B$2:$B$41,"Gift Card")</f>
        <v>1206659</v>
      </c>
      <c r="I17" s="15" t="n">
        <f aca="false">IFERROR((G17+H17)/E17,0)</f>
        <v>0.0179779874420551</v>
      </c>
    </row>
    <row r="18" customFormat="false" ht="15" hidden="false" customHeight="false" outlineLevel="0" collapsed="false">
      <c r="B18" s="14" t="s">
        <v>38</v>
      </c>
      <c r="C18" s="10" t="n">
        <f aca="false">SUMIFS(Data!$D$2:$D$41,Data!$A$2:$A$41,$B18,Data!$B$2:$B$41,"Crypto")</f>
        <v>17853716.77</v>
      </c>
      <c r="D18" s="10" t="n">
        <f aca="false">SUMIFS(Data!$D$2:$D$41,Data!$A$2:$A$41,$B18,Data!$B$2:$B$41,"Gift Card")</f>
        <v>46655875</v>
      </c>
      <c r="E18" s="10" t="n">
        <f aca="false">C18+D18</f>
        <v>64509591.77</v>
      </c>
      <c r="F18" s="16" t="n">
        <f aca="false">IFERROR(C18/E18,0)</f>
        <v>0.276760653418099</v>
      </c>
      <c r="G18" s="10" t="n">
        <f aca="false">SUMIFS(Data!$E$2:$E$41,Data!$A$2:$A$41,$B18,Data!$B$2:$B$41,"Crypto")</f>
        <v>131558.37</v>
      </c>
      <c r="H18" s="10" t="n">
        <f aca="false">SUMIFS(Data!$E$2:$E$41,Data!$A$2:$A$41,$B18,Data!$B$2:$B$41,"Gift Card")</f>
        <v>1303675</v>
      </c>
      <c r="I18" s="15" t="n">
        <f aca="false">IFERROR((G18+H18)/E18,0)</f>
        <v>0.0222483716083203</v>
      </c>
    </row>
    <row r="19" customFormat="false" ht="15" hidden="false" customHeight="false" outlineLevel="0" collapsed="false">
      <c r="B19" s="14" t="s">
        <v>49</v>
      </c>
      <c r="C19" s="10" t="n">
        <f aca="false">SUMIFS(Data!$D$2:$D$41,Data!$A$2:$A$41,$B19,Data!$B$2:$B$41,"Crypto")</f>
        <v>43911674.68</v>
      </c>
      <c r="D19" s="10" t="n">
        <f aca="false">SUMIFS(Data!$D$2:$D$41,Data!$A$2:$A$41,$B19,Data!$B$2:$B$41,"Gift Card")</f>
        <v>38819785</v>
      </c>
      <c r="E19" s="10" t="n">
        <f aca="false">C19+D19</f>
        <v>82731459.68</v>
      </c>
      <c r="F19" s="16" t="n">
        <f aca="false">IFERROR(C19/E19,0)</f>
        <v>0.530773599908034</v>
      </c>
      <c r="G19" s="10" t="n">
        <f aca="false">SUMIFS(Data!$E$2:$E$41,Data!$A$2:$A$41,$B19,Data!$B$2:$B$41,"Crypto")</f>
        <v>319515.379999999</v>
      </c>
      <c r="H19" s="10" t="n">
        <f aca="false">SUMIFS(Data!$E$2:$E$41,Data!$A$2:$A$41,$B19,Data!$B$2:$B$41,"Gift Card")</f>
        <v>1064735</v>
      </c>
      <c r="I19" s="15" t="n">
        <f aca="false">IFERROR((G19+H19)/E19,0)</f>
        <v>0.0167318500767929</v>
      </c>
    </row>
    <row r="20" customFormat="false" ht="15" hidden="false" customHeight="false" outlineLevel="0" collapsed="false">
      <c r="B20" s="14" t="s">
        <v>52</v>
      </c>
      <c r="C20" s="10" t="n">
        <f aca="false">SUMIFS(Data!$D$2:$D$41,Data!$A$2:$A$41,$B20,Data!$B$2:$B$41,"Crypto")</f>
        <v>56215763.99</v>
      </c>
      <c r="D20" s="10" t="n">
        <f aca="false">SUMIFS(Data!$D$2:$D$41,Data!$A$2:$A$41,$B20,Data!$B$2:$B$41,"Gift Card")</f>
        <v>31795565</v>
      </c>
      <c r="E20" s="10" t="n">
        <f aca="false">C20+D20</f>
        <v>88011328.99</v>
      </c>
      <c r="F20" s="16" t="n">
        <f aca="false">IFERROR(C20/E20,0)</f>
        <v>0.638733270308727</v>
      </c>
      <c r="G20" s="10" t="n">
        <f aca="false">SUMIFS(Data!$E$2:$E$41,Data!$A$2:$A$41,$B20,Data!$B$2:$B$41,"Crypto")</f>
        <v>409826.990000001</v>
      </c>
      <c r="H20" s="10" t="n">
        <f aca="false">SUMIFS(Data!$E$2:$E$41,Data!$A$2:$A$41,$B20,Data!$B$2:$B$41,"Gift Card")</f>
        <v>903565</v>
      </c>
      <c r="I20" s="15" t="n">
        <f aca="false">IFERROR((G20+H20)/E20,0)</f>
        <v>0.0149229878138669</v>
      </c>
    </row>
    <row r="21" customFormat="false" ht="15" hidden="false" customHeight="false" outlineLevel="0" collapsed="false">
      <c r="B21" s="14" t="s">
        <v>51</v>
      </c>
      <c r="C21" s="10" t="n">
        <f aca="false">SUMIFS(Data!$D$2:$D$41,Data!$A$2:$A$41,$B21,Data!$B$2:$B$41,"Crypto")</f>
        <v>21172427.35</v>
      </c>
      <c r="D21" s="10" t="n">
        <f aca="false">SUMIFS(Data!$D$2:$D$41,Data!$A$2:$A$41,$B21,Data!$B$2:$B$41,"Gift Card")</f>
        <v>40983450</v>
      </c>
      <c r="E21" s="10" t="n">
        <f aca="false">C21+D21</f>
        <v>62155877.35</v>
      </c>
      <c r="F21" s="16" t="n">
        <f aca="false">IFERROR(C21/E21,0)</f>
        <v>0.340634357564901</v>
      </c>
      <c r="G21" s="10" t="n">
        <f aca="false">SUMIFS(Data!$E$2:$E$41,Data!$A$2:$A$41,$B21,Data!$B$2:$B$41,"Crypto")</f>
        <v>155542.25</v>
      </c>
      <c r="H21" s="10" t="n">
        <f aca="false">SUMIFS(Data!$E$2:$E$41,Data!$A$2:$A$41,$B21,Data!$B$2:$B$41,"Gift Card")</f>
        <v>1136500</v>
      </c>
      <c r="I21" s="15" t="n">
        <f aca="false">IFERROR((G21+H21)/E21,0)</f>
        <v>0.0207871291515122</v>
      </c>
    </row>
    <row r="22" customFormat="false" ht="15" hidden="false" customHeight="false" outlineLevel="0" collapsed="false">
      <c r="B22" s="14" t="s">
        <v>41</v>
      </c>
      <c r="C22" s="10" t="n">
        <f aca="false">SUMIFS(Data!$D$2:$D$41,Data!$A$2:$A$41,$B22,Data!$B$2:$B$41,"Crypto")</f>
        <v>46075961.24</v>
      </c>
      <c r="D22" s="10" t="n">
        <f aca="false">SUMIFS(Data!$D$2:$D$41,Data!$A$2:$A$41,$B22,Data!$B$2:$B$41,"Gift Card")</f>
        <v>26022203</v>
      </c>
      <c r="E22" s="10" t="n">
        <f aca="false">C22+D22</f>
        <v>72098164.24</v>
      </c>
      <c r="F22" s="16" t="n">
        <f aca="false">IFERROR(C22/E22,0)</f>
        <v>0.639072599499518</v>
      </c>
      <c r="G22" s="10" t="n">
        <f aca="false">SUMIFS(Data!$E$2:$E$41,Data!$A$2:$A$41,$B22,Data!$B$2:$B$41,"Crypto")</f>
        <v>335744.24</v>
      </c>
      <c r="H22" s="10" t="n">
        <f aca="false">SUMIFS(Data!$E$2:$E$41,Data!$A$2:$A$41,$B22,Data!$B$2:$B$41,"Gift Card")</f>
        <v>731833</v>
      </c>
      <c r="I22" s="15" t="n">
        <f aca="false">IFERROR((G22+H22)/E22,0)</f>
        <v>0.014807273545083</v>
      </c>
    </row>
    <row r="23" customFormat="false" ht="15" hidden="false" customHeight="false" outlineLevel="0" collapsed="false">
      <c r="B23" s="14" t="s">
        <v>50</v>
      </c>
      <c r="C23" s="10" t="n">
        <f aca="false">SUMIFS(Data!$D$2:$D$41,Data!$A$2:$A$41,$B23,Data!$B$2:$B$41,"Crypto")</f>
        <v>191646</v>
      </c>
      <c r="D23" s="10" t="n">
        <f aca="false">SUMIFS(Data!$D$2:$D$41,Data!$A$2:$A$41,$B23,Data!$B$2:$B$41,"Gift Card")</f>
        <v>3318400</v>
      </c>
      <c r="E23" s="10" t="n">
        <f aca="false">C23+D23</f>
        <v>3510046</v>
      </c>
      <c r="F23" s="16" t="n">
        <f aca="false">IFERROR(C23/E23,0)</f>
        <v>0.054599284453822</v>
      </c>
      <c r="G23" s="10" t="n">
        <f aca="false">SUMIFS(Data!$E$2:$E$41,Data!$A$2:$A$41,$B23,Data!$B$2:$B$41,"Crypto")</f>
        <v>1450</v>
      </c>
      <c r="H23" s="10" t="n">
        <f aca="false">SUMIFS(Data!$E$2:$E$41,Data!$A$2:$A$41,$B23,Data!$B$2:$B$41,"Gift Card")</f>
        <v>88550</v>
      </c>
      <c r="I23" s="15" t="n">
        <f aca="false">IFERROR((G23+H23)/E23,0)</f>
        <v>0.025640689609196</v>
      </c>
    </row>
    <row r="25" customFormat="false" ht="15" hidden="false" customHeight="false" outlineLevel="0" collapsed="false">
      <c r="B25" s="5" t="s">
        <v>92</v>
      </c>
    </row>
    <row r="26" customFormat="false" ht="15" hidden="false" customHeight="false" outlineLevel="0" collapsed="false">
      <c r="B26" s="6" t="s">
        <v>93</v>
      </c>
    </row>
    <row r="28" customFormat="false" ht="15" hidden="false" customHeight="false" outlineLevel="0" collapsed="false">
      <c r="B28" s="6" t="s">
        <v>94</v>
      </c>
    </row>
    <row r="29" customFormat="false" ht="15" hidden="false" customHeight="false" outlineLevel="0" collapsed="false">
      <c r="B29" s="6" t="s">
        <v>95</v>
      </c>
    </row>
  </sheetData>
  <conditionalFormatting sqref="F5:F23">
    <cfRule type="dataBar" priority="2">
      <dataBar showValue="1" minLength="10" maxLength="90">
        <cfvo type="num" val="0"/>
        <cfvo type="num" val="1"/>
        <color rgb="FF8B6DF0"/>
      </dataBar>
      <extLst>
        <ext xmlns:x14="http://schemas.microsoft.com/office/spreadsheetml/2009/9/main" uri="{B025F937-C7B1-47D3-B67F-A62EFF666E3E}">
          <x14:id>{9F14BC64-2095-4045-8853-F6478D89488F}</x14:id>
        </ext>
      </extLst>
    </cfRule>
  </conditionalFormatting>
  <conditionalFormatting sqref="I5:I23">
    <cfRule type="dataBar" priority="3">
      <dataBar showValue="1" minLength="10" maxLength="90">
        <cfvo type="min" val="0"/>
        <cfvo type="max" val="0"/>
        <color rgb="FF3FA46A"/>
      </dataBar>
      <extLst>
        <ext xmlns:x14="http://schemas.microsoft.com/office/spreadsheetml/2009/9/main" uri="{B025F937-C7B1-47D3-B67F-A62EFF666E3E}">
          <x14:id>{67E17DE0-AAF8-42D3-A39D-E516235A3B4C}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14BC64-2095-4045-8853-F6478D89488F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8B6DF0"/>
              <x14:axisColor rgb="FF000000"/>
            </x14:dataBar>
          </x14:cfRule>
          <xm:sqref>F5:F23</xm:sqref>
        </x14:conditionalFormatting>
        <x14:conditionalFormatting xmlns:xm="http://schemas.microsoft.com/office/excel/2006/main">
          <x14:cfRule type="dataBar" id="{67E17DE0-AAF8-42D3-A39D-E516235A3B4C}">
            <x14:dataBar minLength="10" maxLength="90" axisPosition="none" gradient="true">
              <x14:cfvo type="min"/>
              <x14:cfvo type="max"/>
              <x14:negativeFillColor rgb="FF3FA46A"/>
              <x14:axisColor rgb="FF000000"/>
            </x14:dataBar>
          </x14:cfRule>
          <xm:sqref>I5:I23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4" min="4" style="0" width="38"/>
    <col collapsed="false" customWidth="true" hidden="false" outlineLevel="0" max="5" min="5" style="0" width="26"/>
    <col collapsed="false" customWidth="true" hidden="false" outlineLevel="0" max="6" min="6" style="0" width="24"/>
    <col collapsed="false" customWidth="true" hidden="false" outlineLevel="0" max="7" min="7" style="0" width="11"/>
    <col collapsed="false" customWidth="true" hidden="false" outlineLevel="0" max="8" min="8" style="0" width="13"/>
    <col collapsed="false" customWidth="true" hidden="false" outlineLevel="0" max="9" min="9" style="0" width="46"/>
  </cols>
  <sheetData>
    <row r="1" customFormat="false" ht="19.7" hidden="false" customHeight="false" outlineLevel="0" collapsed="false">
      <c r="B1" s="1" t="s">
        <v>96</v>
      </c>
    </row>
    <row r="2" customFormat="false" ht="15" hidden="false" customHeight="false" outlineLevel="0" collapsed="false">
      <c r="B2" s="12" t="s">
        <v>97</v>
      </c>
    </row>
    <row r="4" customFormat="false" ht="15" hidden="false" customHeight="false" outlineLevel="0" collapsed="false">
      <c r="B4" s="13" t="s">
        <v>98</v>
      </c>
      <c r="C4" s="13" t="s">
        <v>99</v>
      </c>
      <c r="D4" s="13" t="s">
        <v>100</v>
      </c>
      <c r="E4" s="13" t="s">
        <v>101</v>
      </c>
      <c r="F4" s="13" t="s">
        <v>102</v>
      </c>
      <c r="G4" s="13" t="s">
        <v>103</v>
      </c>
      <c r="H4" s="13" t="s">
        <v>104</v>
      </c>
      <c r="I4" s="13" t="s">
        <v>105</v>
      </c>
    </row>
    <row r="5" customFormat="false" ht="31.5" hidden="false" customHeight="true" outlineLevel="0" collapsed="false">
      <c r="B5" s="9" t="n">
        <v>1</v>
      </c>
      <c r="C5" s="14" t="s">
        <v>36</v>
      </c>
      <c r="D5" s="24" t="s">
        <v>106</v>
      </c>
      <c r="E5" s="24" t="s">
        <v>107</v>
      </c>
      <c r="F5" s="24" t="s">
        <v>108</v>
      </c>
      <c r="G5" s="9" t="s">
        <v>109</v>
      </c>
      <c r="H5" s="9" t="s">
        <v>110</v>
      </c>
      <c r="I5" s="24" t="s">
        <v>111</v>
      </c>
    </row>
    <row r="6" customFormat="false" ht="31.5" hidden="false" customHeight="true" outlineLevel="0" collapsed="false">
      <c r="B6" s="9" t="n">
        <v>2</v>
      </c>
      <c r="C6" s="14" t="s">
        <v>37</v>
      </c>
      <c r="D6" s="24" t="s">
        <v>112</v>
      </c>
      <c r="E6" s="24" t="s">
        <v>113</v>
      </c>
      <c r="F6" s="24" t="s">
        <v>114</v>
      </c>
      <c r="G6" s="9" t="s">
        <v>109</v>
      </c>
      <c r="H6" s="9" t="s">
        <v>110</v>
      </c>
      <c r="I6" s="24" t="s">
        <v>115</v>
      </c>
    </row>
    <row r="7" customFormat="false" ht="31.5" hidden="false" customHeight="true" outlineLevel="0" collapsed="false">
      <c r="B7" s="9" t="n">
        <v>3</v>
      </c>
      <c r="C7" s="14" t="s">
        <v>116</v>
      </c>
      <c r="D7" s="24" t="s">
        <v>117</v>
      </c>
      <c r="E7" s="24" t="s">
        <v>118</v>
      </c>
      <c r="F7" s="24" t="s">
        <v>119</v>
      </c>
      <c r="G7" s="9" t="s">
        <v>109</v>
      </c>
      <c r="H7" s="9" t="s">
        <v>120</v>
      </c>
      <c r="I7" s="24" t="s">
        <v>121</v>
      </c>
    </row>
    <row r="8" customFormat="false" ht="31.5" hidden="false" customHeight="true" outlineLevel="0" collapsed="false">
      <c r="B8" s="9" t="n">
        <v>4</v>
      </c>
      <c r="C8" s="14" t="s">
        <v>122</v>
      </c>
      <c r="D8" s="24" t="s">
        <v>123</v>
      </c>
      <c r="E8" s="24" t="s">
        <v>124</v>
      </c>
      <c r="F8" s="24" t="s">
        <v>125</v>
      </c>
      <c r="G8" s="9" t="s">
        <v>109</v>
      </c>
      <c r="H8" s="9" t="s">
        <v>110</v>
      </c>
      <c r="I8" s="24" t="s">
        <v>126</v>
      </c>
    </row>
    <row r="9" customFormat="false" ht="31.5" hidden="false" customHeight="true" outlineLevel="0" collapsed="false">
      <c r="B9" s="9" t="n">
        <v>5</v>
      </c>
      <c r="C9" s="14" t="s">
        <v>88</v>
      </c>
      <c r="D9" s="24" t="s">
        <v>127</v>
      </c>
      <c r="E9" s="24" t="s">
        <v>128</v>
      </c>
      <c r="F9" s="24" t="s">
        <v>129</v>
      </c>
      <c r="G9" s="9" t="s">
        <v>130</v>
      </c>
      <c r="H9" s="9" t="s">
        <v>120</v>
      </c>
      <c r="I9" s="24" t="s">
        <v>131</v>
      </c>
    </row>
    <row r="10" customFormat="false" ht="31.5" hidden="false" customHeight="true" outlineLevel="0" collapsed="false">
      <c r="B10" s="9" t="n">
        <v>6</v>
      </c>
      <c r="C10" s="14" t="s">
        <v>132</v>
      </c>
      <c r="D10" s="24" t="s">
        <v>133</v>
      </c>
      <c r="E10" s="24" t="s">
        <v>134</v>
      </c>
      <c r="F10" s="24" t="s">
        <v>135</v>
      </c>
      <c r="G10" s="9" t="s">
        <v>109</v>
      </c>
      <c r="H10" s="9" t="s">
        <v>136</v>
      </c>
      <c r="I10" s="24" t="s">
        <v>137</v>
      </c>
    </row>
    <row r="11" customFormat="false" ht="31.5" hidden="false" customHeight="true" outlineLevel="0" collapsed="false">
      <c r="B11" s="9" t="n">
        <v>7</v>
      </c>
      <c r="C11" s="14" t="s">
        <v>138</v>
      </c>
      <c r="D11" s="24" t="s">
        <v>139</v>
      </c>
      <c r="E11" s="24" t="s">
        <v>140</v>
      </c>
      <c r="F11" s="24" t="s">
        <v>141</v>
      </c>
      <c r="G11" s="9" t="s">
        <v>130</v>
      </c>
      <c r="H11" s="9" t="s">
        <v>120</v>
      </c>
      <c r="I11" s="24" t="s">
        <v>142</v>
      </c>
    </row>
    <row r="12" customFormat="false" ht="31.5" hidden="false" customHeight="true" outlineLevel="0" collapsed="false">
      <c r="B12" s="9" t="n">
        <v>8</v>
      </c>
      <c r="C12" s="14" t="s">
        <v>143</v>
      </c>
      <c r="D12" s="24" t="s">
        <v>144</v>
      </c>
      <c r="E12" s="24" t="s">
        <v>145</v>
      </c>
      <c r="F12" s="24" t="s">
        <v>135</v>
      </c>
      <c r="G12" s="9" t="s">
        <v>109</v>
      </c>
      <c r="H12" s="9" t="s">
        <v>146</v>
      </c>
      <c r="I12" s="24" t="s">
        <v>147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2026-08-01T16:54:38Z</dcterms:created>
  <dc:creator>openpyxl</dc:creator>
  <dc:description/>
  <dc:language>en-US</dc:language>
  <cp:lastModifiedBy/>
  <dcterms:modified xsi:type="dcterms:W3CDTF">2026-08-01T16:55:33Z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